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0490" windowHeight="7530" tabRatio="653"/>
  </bookViews>
  <sheets>
    <sheet name="RATIO BY BREED" sheetId="5" r:id="rId1"/>
    <sheet name="SALE LIST (preliminary)" sheetId="6" r:id="rId2"/>
    <sheet name="Sheet7" sheetId="7" r:id="rId3"/>
    <sheet name="Sheet8" sheetId="8" r:id="rId4"/>
    <sheet name="Sheet9" sheetId="9" r:id="rId5"/>
    <sheet name="Sheet10" sheetId="10" r:id="rId6"/>
    <sheet name="Sheet11" sheetId="11" r:id="rId7"/>
    <sheet name="Sheet12" sheetId="12" r:id="rId8"/>
    <sheet name="Sheet13" sheetId="13" r:id="rId9"/>
    <sheet name="Sheet14" sheetId="14" r:id="rId10"/>
    <sheet name="Sheet15" sheetId="15" r:id="rId11"/>
    <sheet name="Sheet16" sheetId="16" r:id="rId12"/>
  </sheets>
  <definedNames>
    <definedName name="_xlnm.Print_Titles" localSheetId="1">'SALE LIST (preliminary)'!$1:$1</definedName>
  </definedNames>
  <calcPr calcId="145621"/>
</workbook>
</file>

<file path=xl/calcChain.xml><?xml version="1.0" encoding="utf-8"?>
<calcChain xmlns="http://schemas.openxmlformats.org/spreadsheetml/2006/main">
  <c r="AS83" i="6" l="1"/>
  <c r="AR83" i="6"/>
  <c r="AN83" i="6"/>
  <c r="AE83" i="6"/>
  <c r="AP83" i="6" s="1"/>
  <c r="X83" i="6"/>
  <c r="P83" i="6"/>
  <c r="L83" i="6"/>
  <c r="AC83" i="6" s="1"/>
  <c r="AS89" i="6"/>
  <c r="AR89" i="6"/>
  <c r="AN89" i="6"/>
  <c r="AE89" i="6"/>
  <c r="AP89" i="6" s="1"/>
  <c r="X89" i="6"/>
  <c r="P89" i="6"/>
  <c r="L89" i="6"/>
  <c r="AC89" i="6" s="1"/>
  <c r="AS61" i="6"/>
  <c r="AR61" i="6"/>
  <c r="AN61" i="6"/>
  <c r="AE61" i="6"/>
  <c r="AP61" i="6" s="1"/>
  <c r="X61" i="6"/>
  <c r="P61" i="6"/>
  <c r="L61" i="6"/>
  <c r="AC61" i="6" s="1"/>
  <c r="AS3" i="6"/>
  <c r="AR3" i="6"/>
  <c r="AN3" i="6"/>
  <c r="AE3" i="6"/>
  <c r="AP3" i="6" s="1"/>
  <c r="X3" i="6"/>
  <c r="P3" i="6"/>
  <c r="L3" i="6"/>
  <c r="AC3" i="6" s="1"/>
  <c r="AS2" i="6"/>
  <c r="AR2" i="6"/>
  <c r="AN2" i="6"/>
  <c r="AE2" i="6"/>
  <c r="AP2" i="6" s="1"/>
  <c r="X2" i="6"/>
  <c r="P2" i="6"/>
  <c r="L2" i="6"/>
  <c r="AS50" i="6"/>
  <c r="AR50" i="6"/>
  <c r="AN50" i="6"/>
  <c r="AE50" i="6"/>
  <c r="AP50" i="6" s="1"/>
  <c r="X50" i="6"/>
  <c r="P50" i="6"/>
  <c r="L50" i="6"/>
  <c r="AC50" i="6" s="1"/>
  <c r="AS9" i="6"/>
  <c r="AR9" i="6"/>
  <c r="AN9" i="6"/>
  <c r="AE9" i="6"/>
  <c r="AP9" i="6" s="1"/>
  <c r="X9" i="6"/>
  <c r="P9" i="6"/>
  <c r="L9" i="6"/>
  <c r="AC9" i="6" s="1"/>
  <c r="AS87" i="6"/>
  <c r="AR87" i="6"/>
  <c r="AN87" i="6"/>
  <c r="AE87" i="6"/>
  <c r="AP87" i="6" s="1"/>
  <c r="X87" i="6"/>
  <c r="P87" i="6"/>
  <c r="L87" i="6"/>
  <c r="AS74" i="6"/>
  <c r="AR74" i="6"/>
  <c r="AN74" i="6"/>
  <c r="AE74" i="6"/>
  <c r="AP74" i="6" s="1"/>
  <c r="X74" i="6"/>
  <c r="P74" i="6"/>
  <c r="L74" i="6"/>
  <c r="AC74" i="6" s="1"/>
  <c r="AS73" i="6"/>
  <c r="AR73" i="6"/>
  <c r="AN73" i="6"/>
  <c r="AE73" i="6"/>
  <c r="AP73" i="6" s="1"/>
  <c r="X73" i="6"/>
  <c r="P73" i="6"/>
  <c r="L73" i="6"/>
  <c r="AC73" i="6" s="1"/>
  <c r="AS62" i="6"/>
  <c r="AR62" i="6"/>
  <c r="AN62" i="6"/>
  <c r="AE62" i="6"/>
  <c r="AP62" i="6" s="1"/>
  <c r="X62" i="6"/>
  <c r="P62" i="6"/>
  <c r="L62" i="6"/>
  <c r="AC62" i="6" s="1"/>
  <c r="AS60" i="6"/>
  <c r="AR60" i="6"/>
  <c r="AN60" i="6"/>
  <c r="AE60" i="6"/>
  <c r="AP60" i="6" s="1"/>
  <c r="X60" i="6"/>
  <c r="P60" i="6"/>
  <c r="L60" i="6"/>
  <c r="AS58" i="6"/>
  <c r="AR58" i="6"/>
  <c r="AN58" i="6"/>
  <c r="AE58" i="6"/>
  <c r="AP58" i="6" s="1"/>
  <c r="X58" i="6"/>
  <c r="P58" i="6"/>
  <c r="L58" i="6"/>
  <c r="AC58" i="6" s="1"/>
  <c r="AS56" i="6"/>
  <c r="AR56" i="6"/>
  <c r="AN56" i="6"/>
  <c r="AE56" i="6"/>
  <c r="AP56" i="6" s="1"/>
  <c r="X56" i="6"/>
  <c r="P56" i="6"/>
  <c r="L56" i="6"/>
  <c r="AC56" i="6" s="1"/>
  <c r="AS48" i="6"/>
  <c r="AR48" i="6"/>
  <c r="AN48" i="6"/>
  <c r="AE48" i="6"/>
  <c r="AP48" i="6" s="1"/>
  <c r="X48" i="6"/>
  <c r="P48" i="6"/>
  <c r="L48" i="6"/>
  <c r="AC48" i="6" s="1"/>
  <c r="AS23" i="6"/>
  <c r="AR23" i="6"/>
  <c r="AN23" i="6"/>
  <c r="AE23" i="6"/>
  <c r="AP23" i="6" s="1"/>
  <c r="X23" i="6"/>
  <c r="P23" i="6"/>
  <c r="L23" i="6"/>
  <c r="AS20" i="6"/>
  <c r="AR20" i="6"/>
  <c r="AN20" i="6"/>
  <c r="AE20" i="6"/>
  <c r="AP20" i="6" s="1"/>
  <c r="X20" i="6"/>
  <c r="P20" i="6"/>
  <c r="L20" i="6"/>
  <c r="AC20" i="6" s="1"/>
  <c r="AS17" i="6"/>
  <c r="AR17" i="6"/>
  <c r="AN17" i="6"/>
  <c r="AE17" i="6"/>
  <c r="AP17" i="6" s="1"/>
  <c r="X17" i="6"/>
  <c r="P17" i="6"/>
  <c r="L17" i="6"/>
  <c r="AC17" i="6" s="1"/>
  <c r="AS16" i="6"/>
  <c r="AR16" i="6"/>
  <c r="AN16" i="6"/>
  <c r="AE16" i="6"/>
  <c r="AP16" i="6" s="1"/>
  <c r="X16" i="6"/>
  <c r="P16" i="6"/>
  <c r="L16" i="6"/>
  <c r="AC16" i="6" s="1"/>
  <c r="AS14" i="6"/>
  <c r="AR14" i="6"/>
  <c r="AN14" i="6"/>
  <c r="AE14" i="6"/>
  <c r="AP14" i="6" s="1"/>
  <c r="X14" i="6"/>
  <c r="P14" i="6"/>
  <c r="L14" i="6"/>
  <c r="AS11" i="6"/>
  <c r="AR11" i="6"/>
  <c r="AN11" i="6"/>
  <c r="AE11" i="6"/>
  <c r="X11" i="6"/>
  <c r="P11" i="6"/>
  <c r="L11" i="6"/>
  <c r="AC11" i="6" s="1"/>
  <c r="AS80" i="6"/>
  <c r="AR80" i="6"/>
  <c r="AN80" i="6"/>
  <c r="AE80" i="6"/>
  <c r="AP80" i="6" s="1"/>
  <c r="X80" i="6"/>
  <c r="P80" i="6"/>
  <c r="L80" i="6"/>
  <c r="AC80" i="6" s="1"/>
  <c r="AS68" i="6"/>
  <c r="AR68" i="6"/>
  <c r="AN68" i="6"/>
  <c r="AE68" i="6"/>
  <c r="AP68" i="6" s="1"/>
  <c r="X68" i="6"/>
  <c r="P68" i="6"/>
  <c r="L68" i="6"/>
  <c r="AC68" i="6" s="1"/>
  <c r="AS53" i="6"/>
  <c r="AR53" i="6"/>
  <c r="AN53" i="6"/>
  <c r="AE53" i="6"/>
  <c r="AP53" i="6" s="1"/>
  <c r="X53" i="6"/>
  <c r="P53" i="6"/>
  <c r="L53" i="6"/>
  <c r="AC53" i="6" s="1"/>
  <c r="AS15" i="6"/>
  <c r="AR15" i="6"/>
  <c r="AN15" i="6"/>
  <c r="AE15" i="6"/>
  <c r="AP15" i="6" s="1"/>
  <c r="X15" i="6"/>
  <c r="P15" i="6"/>
  <c r="L15" i="6"/>
  <c r="AS13" i="6"/>
  <c r="AR13" i="6"/>
  <c r="AN13" i="6"/>
  <c r="AE13" i="6"/>
  <c r="AP13" i="6" s="1"/>
  <c r="X13" i="6"/>
  <c r="P13" i="6"/>
  <c r="L13" i="6"/>
  <c r="AC13" i="6" s="1"/>
  <c r="AS90" i="6"/>
  <c r="AR90" i="6"/>
  <c r="AN90" i="6"/>
  <c r="AE90" i="6"/>
  <c r="AP90" i="6" s="1"/>
  <c r="X90" i="6"/>
  <c r="P90" i="6"/>
  <c r="L90" i="6"/>
  <c r="AC90" i="6" s="1"/>
  <c r="AS19" i="6"/>
  <c r="AR19" i="6"/>
  <c r="AN19" i="6"/>
  <c r="AE19" i="6"/>
  <c r="AP19" i="6" s="1"/>
  <c r="X19" i="6"/>
  <c r="P19" i="6"/>
  <c r="L19" i="6"/>
  <c r="AS12" i="6"/>
  <c r="AR12" i="6"/>
  <c r="AN12" i="6"/>
  <c r="AE12" i="6"/>
  <c r="X12" i="6"/>
  <c r="P12" i="6"/>
  <c r="L12" i="6"/>
  <c r="AC12" i="6" s="1"/>
  <c r="AS77" i="6"/>
  <c r="AR77" i="6"/>
  <c r="AN77" i="6"/>
  <c r="AE77" i="6"/>
  <c r="AP77" i="6" s="1"/>
  <c r="X77" i="6"/>
  <c r="P77" i="6"/>
  <c r="L77" i="6"/>
  <c r="AC77" i="6" s="1"/>
  <c r="AS70" i="6"/>
  <c r="AR70" i="6"/>
  <c r="AN70" i="6"/>
  <c r="AE70" i="6"/>
  <c r="AP70" i="6" s="1"/>
  <c r="X70" i="6"/>
  <c r="P70" i="6"/>
  <c r="L70" i="6"/>
  <c r="AS65" i="6"/>
  <c r="AR65" i="6"/>
  <c r="AN65" i="6"/>
  <c r="AE65" i="6"/>
  <c r="X65" i="6"/>
  <c r="P65" i="6"/>
  <c r="L65" i="6"/>
  <c r="AC65" i="6" s="1"/>
  <c r="AS51" i="6"/>
  <c r="AR51" i="6"/>
  <c r="AN51" i="6"/>
  <c r="AE51" i="6"/>
  <c r="AP51" i="6" s="1"/>
  <c r="X51" i="6"/>
  <c r="P51" i="6"/>
  <c r="L51" i="6"/>
  <c r="AC51" i="6" s="1"/>
  <c r="AS21" i="6"/>
  <c r="AR21" i="6"/>
  <c r="AN21" i="6"/>
  <c r="AE21" i="6"/>
  <c r="AP21" i="6" s="1"/>
  <c r="X21" i="6"/>
  <c r="P21" i="6"/>
  <c r="L21" i="6"/>
  <c r="AS10" i="6"/>
  <c r="AR10" i="6"/>
  <c r="AN10" i="6"/>
  <c r="AE10" i="6"/>
  <c r="AP10" i="6" s="1"/>
  <c r="X10" i="6"/>
  <c r="P10" i="6"/>
  <c r="L10" i="6"/>
  <c r="AS67" i="6"/>
  <c r="AR67" i="6"/>
  <c r="AN67" i="6"/>
  <c r="AE67" i="6"/>
  <c r="AP67" i="6" s="1"/>
  <c r="X67" i="6"/>
  <c r="P67" i="6"/>
  <c r="L67" i="6"/>
  <c r="AC67" i="6" s="1"/>
  <c r="AS22" i="6"/>
  <c r="AR22" i="6"/>
  <c r="AN22" i="6"/>
  <c r="AE22" i="6"/>
  <c r="AP22" i="6" s="1"/>
  <c r="X22" i="6"/>
  <c r="P22" i="6"/>
  <c r="L22" i="6"/>
  <c r="AC22" i="6" s="1"/>
  <c r="AS18" i="6"/>
  <c r="AR18" i="6"/>
  <c r="AN18" i="6"/>
  <c r="AE18" i="6"/>
  <c r="X18" i="6"/>
  <c r="P18" i="6"/>
  <c r="L18" i="6"/>
  <c r="AS96" i="6"/>
  <c r="AR96" i="6"/>
  <c r="AN96" i="6"/>
  <c r="AE96" i="6"/>
  <c r="AP96" i="6" s="1"/>
  <c r="X96" i="6"/>
  <c r="P96" i="6"/>
  <c r="L96" i="6"/>
  <c r="AC96" i="6" s="1"/>
  <c r="AS92" i="6"/>
  <c r="AR92" i="6"/>
  <c r="AN92" i="6"/>
  <c r="AE92" i="6"/>
  <c r="AP92" i="6" s="1"/>
  <c r="X92" i="6"/>
  <c r="P92" i="6"/>
  <c r="L92" i="6"/>
  <c r="AC92" i="6" s="1"/>
  <c r="AS84" i="6"/>
  <c r="AR84" i="6"/>
  <c r="AN84" i="6"/>
  <c r="AE84" i="6"/>
  <c r="AP84" i="6" s="1"/>
  <c r="X84" i="6"/>
  <c r="P84" i="6"/>
  <c r="L84" i="6"/>
  <c r="AS6" i="6"/>
  <c r="AR6" i="6"/>
  <c r="AN6" i="6"/>
  <c r="AE6" i="6"/>
  <c r="AP6" i="6" s="1"/>
  <c r="X6" i="6"/>
  <c r="P6" i="6"/>
  <c r="L6" i="6"/>
  <c r="AC6" i="6" s="1"/>
  <c r="AS4" i="6"/>
  <c r="AR4" i="6"/>
  <c r="AN4" i="6"/>
  <c r="AE4" i="6"/>
  <c r="X4" i="6"/>
  <c r="P4" i="6"/>
  <c r="L4" i="6"/>
  <c r="AC4" i="6" s="1"/>
  <c r="AS94" i="6"/>
  <c r="AR94" i="6"/>
  <c r="AN94" i="6"/>
  <c r="AE94" i="6"/>
  <c r="AP94" i="6" s="1"/>
  <c r="X94" i="6"/>
  <c r="P94" i="6"/>
  <c r="L94" i="6"/>
  <c r="AC94" i="6" s="1"/>
  <c r="AS7" i="6"/>
  <c r="AR7" i="6"/>
  <c r="AN7" i="6"/>
  <c r="AE7" i="6"/>
  <c r="AP7" i="6" s="1"/>
  <c r="X7" i="6"/>
  <c r="P7" i="6"/>
  <c r="L7" i="6"/>
  <c r="AC7" i="6" s="1"/>
  <c r="AS5" i="6"/>
  <c r="AR5" i="6"/>
  <c r="AN5" i="6"/>
  <c r="AE5" i="6"/>
  <c r="AP5" i="6" s="1"/>
  <c r="X5" i="6"/>
  <c r="P5" i="6"/>
  <c r="L5" i="6"/>
  <c r="AC5" i="6" s="1"/>
  <c r="AS54" i="6"/>
  <c r="AR54" i="6"/>
  <c r="AN54" i="6"/>
  <c r="AE54" i="6"/>
  <c r="AP54" i="6" s="1"/>
  <c r="X54" i="6"/>
  <c r="P54" i="6"/>
  <c r="L54" i="6"/>
  <c r="AC54" i="6" s="1"/>
  <c r="AS8" i="6"/>
  <c r="AR8" i="6"/>
  <c r="AN8" i="6"/>
  <c r="AE8" i="6"/>
  <c r="X8" i="6"/>
  <c r="P8" i="6"/>
  <c r="L8" i="6"/>
  <c r="AC8" i="6" s="1"/>
  <c r="AS93" i="6"/>
  <c r="AR93" i="6"/>
  <c r="AN93" i="6"/>
  <c r="AE93" i="6"/>
  <c r="AP93" i="6" s="1"/>
  <c r="X93" i="6"/>
  <c r="P93" i="6"/>
  <c r="L93" i="6"/>
  <c r="AC93" i="6" s="1"/>
  <c r="AS85" i="6"/>
  <c r="AR85" i="6"/>
  <c r="AN85" i="6"/>
  <c r="AE85" i="6"/>
  <c r="AP85" i="6" s="1"/>
  <c r="X85" i="6"/>
  <c r="P85" i="6"/>
  <c r="L85" i="6"/>
  <c r="AC85" i="6" s="1"/>
  <c r="AS72" i="6"/>
  <c r="AR72" i="6"/>
  <c r="AN72" i="6"/>
  <c r="AE72" i="6"/>
  <c r="AP72" i="6" s="1"/>
  <c r="X72" i="6"/>
  <c r="P72" i="6"/>
  <c r="L72" i="6"/>
  <c r="AC72" i="6" s="1"/>
  <c r="AS30" i="6"/>
  <c r="AR30" i="6"/>
  <c r="AN30" i="6"/>
  <c r="AE30" i="6"/>
  <c r="AP30" i="6" s="1"/>
  <c r="X30" i="6"/>
  <c r="P30" i="6"/>
  <c r="L30" i="6"/>
  <c r="AC30" i="6" s="1"/>
  <c r="AS24" i="6"/>
  <c r="AR24" i="6"/>
  <c r="AN24" i="6"/>
  <c r="AE24" i="6"/>
  <c r="AP24" i="6" s="1"/>
  <c r="X24" i="6"/>
  <c r="P24" i="6"/>
  <c r="L24" i="6"/>
  <c r="AC24" i="6" s="1"/>
  <c r="AS91" i="6"/>
  <c r="AR91" i="6"/>
  <c r="AN91" i="6"/>
  <c r="AE91" i="6"/>
  <c r="AP91" i="6" s="1"/>
  <c r="X91" i="6"/>
  <c r="P91" i="6"/>
  <c r="L91" i="6"/>
  <c r="AC91" i="6" s="1"/>
  <c r="AS88" i="6"/>
  <c r="AR88" i="6"/>
  <c r="AN88" i="6"/>
  <c r="AE88" i="6"/>
  <c r="AP88" i="6" s="1"/>
  <c r="X88" i="6"/>
  <c r="P88" i="6"/>
  <c r="L88" i="6"/>
  <c r="AC88" i="6" s="1"/>
  <c r="AS81" i="6"/>
  <c r="AR81" i="6"/>
  <c r="AN81" i="6"/>
  <c r="AE81" i="6"/>
  <c r="AP81" i="6" s="1"/>
  <c r="X81" i="6"/>
  <c r="P81" i="6"/>
  <c r="L81" i="6"/>
  <c r="AC81" i="6" s="1"/>
  <c r="AS79" i="6"/>
  <c r="AR79" i="6"/>
  <c r="AN79" i="6"/>
  <c r="AE79" i="6"/>
  <c r="AP79" i="6" s="1"/>
  <c r="X79" i="6"/>
  <c r="P79" i="6"/>
  <c r="L79" i="6"/>
  <c r="AC79" i="6" s="1"/>
  <c r="AS64" i="6"/>
  <c r="AR64" i="6"/>
  <c r="AN64" i="6"/>
  <c r="AE64" i="6"/>
  <c r="AP64" i="6" s="1"/>
  <c r="X64" i="6"/>
  <c r="P64" i="6"/>
  <c r="L64" i="6"/>
  <c r="AC64" i="6" s="1"/>
  <c r="AS63" i="6"/>
  <c r="AR63" i="6"/>
  <c r="AN63" i="6"/>
  <c r="AE63" i="6"/>
  <c r="AP63" i="6" s="1"/>
  <c r="X63" i="6"/>
  <c r="P63" i="6"/>
  <c r="L63" i="6"/>
  <c r="AC63" i="6" s="1"/>
  <c r="AS59" i="6"/>
  <c r="AR59" i="6"/>
  <c r="AN59" i="6"/>
  <c r="AE59" i="6"/>
  <c r="AP59" i="6" s="1"/>
  <c r="X59" i="6"/>
  <c r="P59" i="6"/>
  <c r="L59" i="6"/>
  <c r="AC59" i="6" s="1"/>
  <c r="AS33" i="6"/>
  <c r="AR33" i="6"/>
  <c r="AN33" i="6"/>
  <c r="AE33" i="6"/>
  <c r="AP33" i="6" s="1"/>
  <c r="X33" i="6"/>
  <c r="P33" i="6"/>
  <c r="L33" i="6"/>
  <c r="AC33" i="6" s="1"/>
  <c r="AS27" i="6"/>
  <c r="AR27" i="6"/>
  <c r="AN27" i="6"/>
  <c r="AE27" i="6"/>
  <c r="AP27" i="6" s="1"/>
  <c r="X27" i="6"/>
  <c r="P27" i="6"/>
  <c r="L27" i="6"/>
  <c r="AC27" i="6" s="1"/>
  <c r="AS26" i="6"/>
  <c r="AR26" i="6"/>
  <c r="AN26" i="6"/>
  <c r="AE26" i="6"/>
  <c r="AP26" i="6" s="1"/>
  <c r="X26" i="6"/>
  <c r="P26" i="6"/>
  <c r="L26" i="6"/>
  <c r="AC26" i="6" s="1"/>
  <c r="AS25" i="6"/>
  <c r="AR25" i="6"/>
  <c r="AN25" i="6"/>
  <c r="AE25" i="6"/>
  <c r="X25" i="6"/>
  <c r="P25" i="6"/>
  <c r="L25" i="6"/>
  <c r="AC25" i="6" s="1"/>
  <c r="AS95" i="6"/>
  <c r="AR95" i="6"/>
  <c r="AN95" i="6"/>
  <c r="AE95" i="6"/>
  <c r="AP95" i="6" s="1"/>
  <c r="X95" i="6"/>
  <c r="P95" i="6"/>
  <c r="L95" i="6"/>
  <c r="AC95" i="6" s="1"/>
  <c r="AS86" i="6"/>
  <c r="AR86" i="6"/>
  <c r="AN86" i="6"/>
  <c r="AE86" i="6"/>
  <c r="AP86" i="6" s="1"/>
  <c r="X86" i="6"/>
  <c r="P86" i="6"/>
  <c r="L86" i="6"/>
  <c r="AC86" i="6" s="1"/>
  <c r="AS75" i="6"/>
  <c r="AR75" i="6"/>
  <c r="AN75" i="6"/>
  <c r="AE75" i="6"/>
  <c r="AP75" i="6" s="1"/>
  <c r="X75" i="6"/>
  <c r="P75" i="6"/>
  <c r="L75" i="6"/>
  <c r="AC75" i="6" s="1"/>
  <c r="AS71" i="6"/>
  <c r="AR71" i="6"/>
  <c r="AN71" i="6"/>
  <c r="AE71" i="6"/>
  <c r="AP71" i="6" s="1"/>
  <c r="X71" i="6"/>
  <c r="P71" i="6"/>
  <c r="L71" i="6"/>
  <c r="AC71" i="6" s="1"/>
  <c r="AS52" i="6"/>
  <c r="AR52" i="6"/>
  <c r="AN52" i="6"/>
  <c r="AE52" i="6"/>
  <c r="AP52" i="6" s="1"/>
  <c r="X52" i="6"/>
  <c r="P52" i="6"/>
  <c r="L52" i="6"/>
  <c r="AC52" i="6" s="1"/>
  <c r="AS55" i="6"/>
  <c r="AR55" i="6"/>
  <c r="AN55" i="6"/>
  <c r="AE55" i="6"/>
  <c r="AP55" i="6" s="1"/>
  <c r="X55" i="6"/>
  <c r="P55" i="6"/>
  <c r="L55" i="6"/>
  <c r="AC55" i="6" s="1"/>
  <c r="AS43" i="6"/>
  <c r="AR43" i="6"/>
  <c r="AN43" i="6"/>
  <c r="AE43" i="6"/>
  <c r="AP43" i="6" s="1"/>
  <c r="X43" i="6"/>
  <c r="P43" i="6"/>
  <c r="L43" i="6"/>
  <c r="AC43" i="6" s="1"/>
  <c r="AS41" i="6"/>
  <c r="AR41" i="6"/>
  <c r="AN41" i="6"/>
  <c r="AE41" i="6"/>
  <c r="AP41" i="6" s="1"/>
  <c r="X41" i="6"/>
  <c r="P41" i="6"/>
  <c r="L41" i="6"/>
  <c r="AC41" i="6" s="1"/>
  <c r="AS40" i="6"/>
  <c r="AR40" i="6"/>
  <c r="AN40" i="6"/>
  <c r="AE40" i="6"/>
  <c r="AP40" i="6" s="1"/>
  <c r="X40" i="6"/>
  <c r="P40" i="6"/>
  <c r="L40" i="6"/>
  <c r="AC40" i="6" s="1"/>
  <c r="AS38" i="6"/>
  <c r="AR38" i="6"/>
  <c r="AN38" i="6"/>
  <c r="AE38" i="6"/>
  <c r="AP38" i="6" s="1"/>
  <c r="X38" i="6"/>
  <c r="P38" i="6"/>
  <c r="L38" i="6"/>
  <c r="AC38" i="6" s="1"/>
  <c r="AS37" i="6"/>
  <c r="AR37" i="6"/>
  <c r="AN37" i="6"/>
  <c r="AE37" i="6"/>
  <c r="AP37" i="6" s="1"/>
  <c r="X37" i="6"/>
  <c r="P37" i="6"/>
  <c r="L37" i="6"/>
  <c r="AC37" i="6" s="1"/>
  <c r="AS36" i="6"/>
  <c r="AR36" i="6"/>
  <c r="AN36" i="6"/>
  <c r="AE36" i="6"/>
  <c r="AP36" i="6" s="1"/>
  <c r="X36" i="6"/>
  <c r="P36" i="6"/>
  <c r="L36" i="6"/>
  <c r="AC36" i="6" s="1"/>
  <c r="AS35" i="6"/>
  <c r="AR35" i="6"/>
  <c r="AN35" i="6"/>
  <c r="AE35" i="6"/>
  <c r="AP35" i="6" s="1"/>
  <c r="X35" i="6"/>
  <c r="P35" i="6"/>
  <c r="L35" i="6"/>
  <c r="AC35" i="6" s="1"/>
  <c r="AS32" i="6"/>
  <c r="AR32" i="6"/>
  <c r="AN32" i="6"/>
  <c r="AE32" i="6"/>
  <c r="AP32" i="6" s="1"/>
  <c r="X32" i="6"/>
  <c r="P32" i="6"/>
  <c r="L32" i="6"/>
  <c r="AC32" i="6" s="1"/>
  <c r="AS29" i="6"/>
  <c r="AR29" i="6"/>
  <c r="AN29" i="6"/>
  <c r="AE29" i="6"/>
  <c r="X29" i="6"/>
  <c r="P29" i="6"/>
  <c r="L29" i="6"/>
  <c r="AS78" i="6"/>
  <c r="AR78" i="6"/>
  <c r="AN78" i="6"/>
  <c r="AE78" i="6"/>
  <c r="X78" i="6"/>
  <c r="P78" i="6"/>
  <c r="L78" i="6"/>
  <c r="AC78" i="6" s="1"/>
  <c r="AS57" i="6"/>
  <c r="AR57" i="6"/>
  <c r="AN57" i="6"/>
  <c r="AE57" i="6"/>
  <c r="AP57" i="6" s="1"/>
  <c r="X57" i="6"/>
  <c r="P57" i="6"/>
  <c r="L57" i="6"/>
  <c r="AC57" i="6" s="1"/>
  <c r="AS31" i="6"/>
  <c r="AR31" i="6"/>
  <c r="AN31" i="6"/>
  <c r="AE31" i="6"/>
  <c r="AP31" i="6" s="1"/>
  <c r="X31" i="6"/>
  <c r="P31" i="6"/>
  <c r="L31" i="6"/>
  <c r="AC31" i="6" s="1"/>
  <c r="AS82" i="6"/>
  <c r="AR82" i="6"/>
  <c r="AN82" i="6"/>
  <c r="AE82" i="6"/>
  <c r="AP82" i="6" s="1"/>
  <c r="X82" i="6"/>
  <c r="P82" i="6"/>
  <c r="L82" i="6"/>
  <c r="AS76" i="6"/>
  <c r="AR76" i="6"/>
  <c r="AN76" i="6"/>
  <c r="AE76" i="6"/>
  <c r="AP76" i="6" s="1"/>
  <c r="X76" i="6"/>
  <c r="P76" i="6"/>
  <c r="L76" i="6"/>
  <c r="AC76" i="6" s="1"/>
  <c r="AS69" i="6"/>
  <c r="AR69" i="6"/>
  <c r="AN69" i="6"/>
  <c r="AE69" i="6"/>
  <c r="AP69" i="6" s="1"/>
  <c r="X69" i="6"/>
  <c r="P69" i="6"/>
  <c r="L69" i="6"/>
  <c r="AC69" i="6" s="1"/>
  <c r="AS66" i="6"/>
  <c r="AR66" i="6"/>
  <c r="AN66" i="6"/>
  <c r="AE66" i="6"/>
  <c r="AP66" i="6" s="1"/>
  <c r="X66" i="6"/>
  <c r="P66" i="6"/>
  <c r="L66" i="6"/>
  <c r="AC66" i="6" s="1"/>
  <c r="AS49" i="6"/>
  <c r="AR49" i="6"/>
  <c r="AN49" i="6"/>
  <c r="AE49" i="6"/>
  <c r="AP49" i="6" s="1"/>
  <c r="X49" i="6"/>
  <c r="P49" i="6"/>
  <c r="L49" i="6"/>
  <c r="AS44" i="6"/>
  <c r="AR44" i="6"/>
  <c r="AN44" i="6"/>
  <c r="AE44" i="6"/>
  <c r="AP44" i="6" s="1"/>
  <c r="X44" i="6"/>
  <c r="P44" i="6"/>
  <c r="L44" i="6"/>
  <c r="AC44" i="6" s="1"/>
  <c r="AS42" i="6"/>
  <c r="AR42" i="6"/>
  <c r="AN42" i="6"/>
  <c r="AE42" i="6"/>
  <c r="AP42" i="6" s="1"/>
  <c r="X42" i="6"/>
  <c r="P42" i="6"/>
  <c r="L42" i="6"/>
  <c r="AC42" i="6" s="1"/>
  <c r="AS39" i="6"/>
  <c r="AR39" i="6"/>
  <c r="AN39" i="6"/>
  <c r="AE39" i="6"/>
  <c r="AP39" i="6" s="1"/>
  <c r="X39" i="6"/>
  <c r="P39" i="6"/>
  <c r="L39" i="6"/>
  <c r="AC39" i="6" s="1"/>
  <c r="AS34" i="6"/>
  <c r="AR34" i="6"/>
  <c r="AN34" i="6"/>
  <c r="AE34" i="6"/>
  <c r="AP34" i="6" s="1"/>
  <c r="X34" i="6"/>
  <c r="P34" i="6"/>
  <c r="L34" i="6"/>
  <c r="AS28" i="6"/>
  <c r="AR28" i="6"/>
  <c r="AN28" i="6"/>
  <c r="AE28" i="6"/>
  <c r="AP28" i="6" s="1"/>
  <c r="X28" i="6"/>
  <c r="P28" i="6"/>
  <c r="L28" i="6"/>
  <c r="AS135" i="5"/>
  <c r="AS136" i="5"/>
  <c r="AS137" i="5"/>
  <c r="AS134" i="5"/>
  <c r="AR135" i="5"/>
  <c r="AR136" i="5"/>
  <c r="AR137" i="5"/>
  <c r="AR134" i="5"/>
  <c r="AI138" i="5"/>
  <c r="AG138" i="5"/>
  <c r="AS112" i="5"/>
  <c r="AS113" i="5"/>
  <c r="AS114" i="5"/>
  <c r="AS115" i="5"/>
  <c r="AS116" i="5"/>
  <c r="AS117" i="5"/>
  <c r="AS118" i="5"/>
  <c r="AS119" i="5"/>
  <c r="AS120" i="5"/>
  <c r="AS121" i="5"/>
  <c r="AS122" i="5"/>
  <c r="AS123" i="5"/>
  <c r="AS124" i="5"/>
  <c r="AS111" i="5"/>
  <c r="AI125" i="5"/>
  <c r="AG125" i="5"/>
  <c r="AS102" i="5"/>
  <c r="AS103" i="5"/>
  <c r="AS104" i="5"/>
  <c r="AS105" i="5"/>
  <c r="AS101" i="5"/>
  <c r="AR102" i="5"/>
  <c r="AR103" i="5"/>
  <c r="AR104" i="5"/>
  <c r="AR105" i="5"/>
  <c r="AR101" i="5"/>
  <c r="AI106" i="5"/>
  <c r="AG106" i="5"/>
  <c r="L108" i="5"/>
  <c r="P108" i="5"/>
  <c r="AS97" i="5"/>
  <c r="AS98" i="5"/>
  <c r="AS96" i="5"/>
  <c r="AR97" i="5"/>
  <c r="AR98" i="5"/>
  <c r="AR96" i="5"/>
  <c r="AI99" i="5"/>
  <c r="AG99" i="5"/>
  <c r="AS85" i="5"/>
  <c r="AS86" i="5"/>
  <c r="AS87" i="5"/>
  <c r="AS88" i="5"/>
  <c r="AS89" i="5"/>
  <c r="AS84" i="5"/>
  <c r="AR85" i="5"/>
  <c r="AR86" i="5"/>
  <c r="AR87" i="5"/>
  <c r="AR88" i="5"/>
  <c r="AR89" i="5"/>
  <c r="AR84" i="5"/>
  <c r="AI90" i="5"/>
  <c r="AG90" i="5"/>
  <c r="AS80" i="5"/>
  <c r="AS81" i="5"/>
  <c r="AS79" i="5"/>
  <c r="AR80" i="5"/>
  <c r="AR81" i="5"/>
  <c r="AR79" i="5"/>
  <c r="AI82" i="5"/>
  <c r="AG82" i="5"/>
  <c r="AS70" i="5"/>
  <c r="AS71" i="5"/>
  <c r="AS72" i="5"/>
  <c r="AS73" i="5"/>
  <c r="AS69" i="5"/>
  <c r="AR70" i="5"/>
  <c r="AR71" i="5"/>
  <c r="AR72" i="5"/>
  <c r="AR73" i="5"/>
  <c r="AR69" i="5"/>
  <c r="AI74" i="5"/>
  <c r="AG74" i="5"/>
  <c r="AR65" i="5"/>
  <c r="AR66" i="5"/>
  <c r="AR64" i="5"/>
  <c r="AI67" i="5"/>
  <c r="AG67" i="5"/>
  <c r="AS60" i="5"/>
  <c r="AS61" i="5"/>
  <c r="AR61" i="5"/>
  <c r="AR60" i="5"/>
  <c r="AI62" i="5"/>
  <c r="AG62" i="5"/>
  <c r="AS50" i="5"/>
  <c r="AS52" i="5"/>
  <c r="AS49" i="5"/>
  <c r="AS51" i="5"/>
  <c r="AR50" i="5"/>
  <c r="AR52" i="5"/>
  <c r="AR49" i="5"/>
  <c r="AR51" i="5"/>
  <c r="AS37" i="5"/>
  <c r="AS38" i="5"/>
  <c r="AS39" i="5"/>
  <c r="AS40" i="5"/>
  <c r="AS41" i="5"/>
  <c r="AS42" i="5"/>
  <c r="AS43" i="5"/>
  <c r="AS44" i="5"/>
  <c r="AS45" i="5"/>
  <c r="AS46" i="5"/>
  <c r="AS36" i="5"/>
  <c r="AR37" i="5"/>
  <c r="AR38" i="5"/>
  <c r="AR39" i="5"/>
  <c r="AR40" i="5"/>
  <c r="AR41" i="5"/>
  <c r="AR42" i="5"/>
  <c r="AR43" i="5"/>
  <c r="AR44" i="5"/>
  <c r="AR45" i="5"/>
  <c r="AR46" i="5"/>
  <c r="AR36" i="5"/>
  <c r="AI47" i="5"/>
  <c r="AG47" i="5"/>
  <c r="AD47" i="5"/>
  <c r="AS20" i="5"/>
  <c r="AS21" i="5"/>
  <c r="AS22" i="5"/>
  <c r="AS23" i="5"/>
  <c r="AS25" i="5"/>
  <c r="AS24" i="5"/>
  <c r="AS26" i="5"/>
  <c r="AS27" i="5"/>
  <c r="AS28" i="5"/>
  <c r="AS29" i="5"/>
  <c r="AS30" i="5"/>
  <c r="AS31" i="5"/>
  <c r="AS32" i="5"/>
  <c r="AS33" i="5"/>
  <c r="AS19" i="5"/>
  <c r="AR20" i="5"/>
  <c r="AR21" i="5"/>
  <c r="AR22" i="5"/>
  <c r="AR23" i="5"/>
  <c r="AR25" i="5"/>
  <c r="AR24" i="5"/>
  <c r="AR26" i="5"/>
  <c r="AR27" i="5"/>
  <c r="AR28" i="5"/>
  <c r="AR29" i="5"/>
  <c r="AR30" i="5"/>
  <c r="AR31" i="5"/>
  <c r="AR32" i="5"/>
  <c r="AR33" i="5"/>
  <c r="AR19" i="5"/>
  <c r="AI34" i="5"/>
  <c r="AG34" i="5"/>
  <c r="AD34" i="5"/>
  <c r="AS15" i="5"/>
  <c r="AS16" i="5"/>
  <c r="AS14" i="5"/>
  <c r="AR15" i="5"/>
  <c r="AR16" i="5"/>
  <c r="AR14" i="5"/>
  <c r="AI17" i="5"/>
  <c r="AG17" i="5"/>
  <c r="AD17" i="5"/>
  <c r="AS3" i="5"/>
  <c r="AS4" i="5"/>
  <c r="AS5" i="5"/>
  <c r="AS6" i="5"/>
  <c r="AS7" i="5"/>
  <c r="AS9" i="5"/>
  <c r="AS8" i="5"/>
  <c r="AS10" i="5"/>
  <c r="AS11" i="5"/>
  <c r="AS2" i="5"/>
  <c r="AR3" i="5"/>
  <c r="AR4" i="5"/>
  <c r="AR5" i="5"/>
  <c r="AR6" i="5"/>
  <c r="AR7" i="5"/>
  <c r="AR9" i="5"/>
  <c r="AR8" i="5"/>
  <c r="AR10" i="5"/>
  <c r="AR11" i="5"/>
  <c r="AR2" i="5"/>
  <c r="AI12" i="5"/>
  <c r="AG12" i="5"/>
  <c r="AD12" i="5"/>
  <c r="AS140" i="5"/>
  <c r="AR140" i="5"/>
  <c r="AN140" i="5"/>
  <c r="AE140" i="5"/>
  <c r="AP140" i="5" s="1"/>
  <c r="X140" i="5"/>
  <c r="P140" i="5"/>
  <c r="L140" i="5"/>
  <c r="AC140" i="5" s="1"/>
  <c r="AN137" i="5"/>
  <c r="AE137" i="5"/>
  <c r="AP137" i="5" s="1"/>
  <c r="X137" i="5"/>
  <c r="P137" i="5"/>
  <c r="L137" i="5"/>
  <c r="AN136" i="5"/>
  <c r="AE136" i="5"/>
  <c r="AP136" i="5" s="1"/>
  <c r="X136" i="5"/>
  <c r="P136" i="5"/>
  <c r="L136" i="5"/>
  <c r="AC136" i="5" s="1"/>
  <c r="AN135" i="5"/>
  <c r="AE135" i="5"/>
  <c r="AP135" i="5" s="1"/>
  <c r="X135" i="5"/>
  <c r="P135" i="5"/>
  <c r="L135" i="5"/>
  <c r="AC135" i="5" s="1"/>
  <c r="AN134" i="5"/>
  <c r="AE134" i="5"/>
  <c r="X134" i="5"/>
  <c r="P134" i="5"/>
  <c r="L134" i="5"/>
  <c r="AC134" i="5" s="1"/>
  <c r="AS128" i="5"/>
  <c r="AR128" i="5"/>
  <c r="AN128" i="5"/>
  <c r="AE128" i="5"/>
  <c r="AP128" i="5" s="1"/>
  <c r="X128" i="5"/>
  <c r="P128" i="5"/>
  <c r="L128" i="5"/>
  <c r="AR124" i="5"/>
  <c r="AN124" i="5"/>
  <c r="AE124" i="5"/>
  <c r="AP124" i="5" s="1"/>
  <c r="X124" i="5"/>
  <c r="P124" i="5"/>
  <c r="L124" i="5"/>
  <c r="AC124" i="5" s="1"/>
  <c r="AR123" i="5"/>
  <c r="AN123" i="5"/>
  <c r="AE123" i="5"/>
  <c r="AP123" i="5" s="1"/>
  <c r="X123" i="5"/>
  <c r="P123" i="5"/>
  <c r="L123" i="5"/>
  <c r="AC123" i="5" s="1"/>
  <c r="AR122" i="5"/>
  <c r="AN122" i="5"/>
  <c r="AE122" i="5"/>
  <c r="AP122" i="5" s="1"/>
  <c r="X122" i="5"/>
  <c r="P122" i="5"/>
  <c r="L122" i="5"/>
  <c r="AC122" i="5" s="1"/>
  <c r="AR121" i="5"/>
  <c r="AN121" i="5"/>
  <c r="AE121" i="5"/>
  <c r="AP121" i="5" s="1"/>
  <c r="X121" i="5"/>
  <c r="P121" i="5"/>
  <c r="L121" i="5"/>
  <c r="AR120" i="5"/>
  <c r="AN120" i="5"/>
  <c r="AE120" i="5"/>
  <c r="AP120" i="5" s="1"/>
  <c r="X120" i="5"/>
  <c r="P120" i="5"/>
  <c r="L120" i="5"/>
  <c r="AC120" i="5" s="1"/>
  <c r="AR119" i="5"/>
  <c r="AN119" i="5"/>
  <c r="AE119" i="5"/>
  <c r="AP119" i="5" s="1"/>
  <c r="X119" i="5"/>
  <c r="P119" i="5"/>
  <c r="L119" i="5"/>
  <c r="AC119" i="5" s="1"/>
  <c r="AR118" i="5"/>
  <c r="AN118" i="5"/>
  <c r="AE118" i="5"/>
  <c r="AP118" i="5" s="1"/>
  <c r="X118" i="5"/>
  <c r="P118" i="5"/>
  <c r="L118" i="5"/>
  <c r="AC118" i="5" s="1"/>
  <c r="AR117" i="5"/>
  <c r="AN117" i="5"/>
  <c r="AE117" i="5"/>
  <c r="AP117" i="5" s="1"/>
  <c r="X117" i="5"/>
  <c r="P117" i="5"/>
  <c r="L117" i="5"/>
  <c r="AR116" i="5"/>
  <c r="AN116" i="5"/>
  <c r="AE116" i="5"/>
  <c r="AP116" i="5" s="1"/>
  <c r="X116" i="5"/>
  <c r="P116" i="5"/>
  <c r="L116" i="5"/>
  <c r="AC116" i="5" s="1"/>
  <c r="AR115" i="5"/>
  <c r="AN115" i="5"/>
  <c r="AE115" i="5"/>
  <c r="AP115" i="5" s="1"/>
  <c r="X115" i="5"/>
  <c r="P115" i="5"/>
  <c r="L115" i="5"/>
  <c r="AC115" i="5" s="1"/>
  <c r="AR114" i="5"/>
  <c r="AN114" i="5"/>
  <c r="AE114" i="5"/>
  <c r="AP114" i="5" s="1"/>
  <c r="X114" i="5"/>
  <c r="P114" i="5"/>
  <c r="L114" i="5"/>
  <c r="AC114" i="5" s="1"/>
  <c r="AR113" i="5"/>
  <c r="AN113" i="5"/>
  <c r="AE113" i="5"/>
  <c r="AP113" i="5" s="1"/>
  <c r="X113" i="5"/>
  <c r="P113" i="5"/>
  <c r="L113" i="5"/>
  <c r="AR112" i="5"/>
  <c r="AN112" i="5"/>
  <c r="AE112" i="5"/>
  <c r="AP112" i="5" s="1"/>
  <c r="X112" i="5"/>
  <c r="P112" i="5"/>
  <c r="L112" i="5"/>
  <c r="AC112" i="5" s="1"/>
  <c r="AR111" i="5"/>
  <c r="AN111" i="5"/>
  <c r="AE111" i="5"/>
  <c r="AP111" i="5" s="1"/>
  <c r="AP125" i="5" s="1"/>
  <c r="X111" i="5"/>
  <c r="P111" i="5"/>
  <c r="L111" i="5"/>
  <c r="AC111" i="5" s="1"/>
  <c r="AN105" i="5"/>
  <c r="AE105" i="5"/>
  <c r="AP105" i="5" s="1"/>
  <c r="X105" i="5"/>
  <c r="P105" i="5"/>
  <c r="L105" i="5"/>
  <c r="AC105" i="5" s="1"/>
  <c r="AN104" i="5"/>
  <c r="AE104" i="5"/>
  <c r="AP104" i="5" s="1"/>
  <c r="X104" i="5"/>
  <c r="P104" i="5"/>
  <c r="L104" i="5"/>
  <c r="AC104" i="5" s="1"/>
  <c r="AN103" i="5"/>
  <c r="AE103" i="5"/>
  <c r="AP103" i="5" s="1"/>
  <c r="X103" i="5"/>
  <c r="P103" i="5"/>
  <c r="L103" i="5"/>
  <c r="AC103" i="5" s="1"/>
  <c r="AN102" i="5"/>
  <c r="AE102" i="5"/>
  <c r="AP102" i="5" s="1"/>
  <c r="X102" i="5"/>
  <c r="P102" i="5"/>
  <c r="L102" i="5"/>
  <c r="AN101" i="5"/>
  <c r="AE101" i="5"/>
  <c r="X101" i="5"/>
  <c r="P101" i="5"/>
  <c r="L101" i="5"/>
  <c r="AC101" i="5" s="1"/>
  <c r="AN98" i="5"/>
  <c r="AE98" i="5"/>
  <c r="AP98" i="5" s="1"/>
  <c r="X98" i="5"/>
  <c r="P98" i="5"/>
  <c r="L98" i="5"/>
  <c r="AC98" i="5" s="1"/>
  <c r="AN97" i="5"/>
  <c r="AE97" i="5"/>
  <c r="AP97" i="5" s="1"/>
  <c r="X97" i="5"/>
  <c r="P97" i="5"/>
  <c r="L97" i="5"/>
  <c r="AC97" i="5" s="1"/>
  <c r="AN96" i="5"/>
  <c r="AE96" i="5"/>
  <c r="AP96" i="5" s="1"/>
  <c r="X96" i="5"/>
  <c r="P96" i="5"/>
  <c r="L96" i="5"/>
  <c r="AC96" i="5" s="1"/>
  <c r="P93" i="5"/>
  <c r="L93" i="5"/>
  <c r="P92" i="5"/>
  <c r="L92" i="5"/>
  <c r="AN89" i="5"/>
  <c r="AE89" i="5"/>
  <c r="AP89" i="5" s="1"/>
  <c r="X89" i="5"/>
  <c r="P89" i="5"/>
  <c r="L89" i="5"/>
  <c r="AC89" i="5" s="1"/>
  <c r="AN88" i="5"/>
  <c r="AE88" i="5"/>
  <c r="AP88" i="5" s="1"/>
  <c r="X88" i="5"/>
  <c r="P88" i="5"/>
  <c r="L88" i="5"/>
  <c r="AC88" i="5" s="1"/>
  <c r="AN87" i="5"/>
  <c r="AE87" i="5"/>
  <c r="AP87" i="5" s="1"/>
  <c r="X87" i="5"/>
  <c r="P87" i="5"/>
  <c r="L87" i="5"/>
  <c r="AC87" i="5" s="1"/>
  <c r="AN86" i="5"/>
  <c r="AE86" i="5"/>
  <c r="AP86" i="5" s="1"/>
  <c r="X86" i="5"/>
  <c r="P86" i="5"/>
  <c r="L86" i="5"/>
  <c r="AC86" i="5" s="1"/>
  <c r="AN85" i="5"/>
  <c r="AE85" i="5"/>
  <c r="AP85" i="5" s="1"/>
  <c r="X85" i="5"/>
  <c r="P85" i="5"/>
  <c r="L85" i="5"/>
  <c r="AC85" i="5" s="1"/>
  <c r="AN84" i="5"/>
  <c r="AE84" i="5"/>
  <c r="AP84" i="5" s="1"/>
  <c r="X84" i="5"/>
  <c r="P84" i="5"/>
  <c r="L84" i="5"/>
  <c r="AC84" i="5" s="1"/>
  <c r="AN81" i="5"/>
  <c r="AE81" i="5"/>
  <c r="AP81" i="5" s="1"/>
  <c r="X81" i="5"/>
  <c r="P81" i="5"/>
  <c r="L81" i="5"/>
  <c r="AC81" i="5" s="1"/>
  <c r="AN80" i="5"/>
  <c r="AE80" i="5"/>
  <c r="AP80" i="5" s="1"/>
  <c r="X80" i="5"/>
  <c r="P80" i="5"/>
  <c r="L80" i="5"/>
  <c r="AC80" i="5" s="1"/>
  <c r="AN79" i="5"/>
  <c r="AE79" i="5"/>
  <c r="AP79" i="5" s="1"/>
  <c r="X79" i="5"/>
  <c r="P79" i="5"/>
  <c r="L79" i="5"/>
  <c r="AC79" i="5" s="1"/>
  <c r="AS127" i="5"/>
  <c r="AR127" i="5"/>
  <c r="AN127" i="5"/>
  <c r="AE127" i="5"/>
  <c r="AP127" i="5" s="1"/>
  <c r="X127" i="5"/>
  <c r="P127" i="5"/>
  <c r="L127" i="5"/>
  <c r="AC127" i="5" s="1"/>
  <c r="AN73" i="5"/>
  <c r="AE73" i="5"/>
  <c r="AP73" i="5" s="1"/>
  <c r="X73" i="5"/>
  <c r="P73" i="5"/>
  <c r="L73" i="5"/>
  <c r="AC73" i="5" s="1"/>
  <c r="AN72" i="5"/>
  <c r="AE72" i="5"/>
  <c r="AP72" i="5" s="1"/>
  <c r="X72" i="5"/>
  <c r="P72" i="5"/>
  <c r="L72" i="5"/>
  <c r="AC72" i="5" s="1"/>
  <c r="AN71" i="5"/>
  <c r="AE71" i="5"/>
  <c r="AP71" i="5" s="1"/>
  <c r="X71" i="5"/>
  <c r="P71" i="5"/>
  <c r="L71" i="5"/>
  <c r="AC71" i="5" s="1"/>
  <c r="AN70" i="5"/>
  <c r="AE70" i="5"/>
  <c r="AP70" i="5" s="1"/>
  <c r="X70" i="5"/>
  <c r="P70" i="5"/>
  <c r="L70" i="5"/>
  <c r="AC70" i="5" s="1"/>
  <c r="AN69" i="5"/>
  <c r="AE69" i="5"/>
  <c r="X69" i="5"/>
  <c r="P69" i="5"/>
  <c r="L69" i="5"/>
  <c r="AC69" i="5" s="1"/>
  <c r="AS66" i="5"/>
  <c r="AN66" i="5"/>
  <c r="AE66" i="5"/>
  <c r="AP66" i="5" s="1"/>
  <c r="X66" i="5"/>
  <c r="P66" i="5"/>
  <c r="L66" i="5"/>
  <c r="AC66" i="5" s="1"/>
  <c r="AS65" i="5"/>
  <c r="AN65" i="5"/>
  <c r="AE65" i="5"/>
  <c r="AP65" i="5" s="1"/>
  <c r="X65" i="5"/>
  <c r="P65" i="5"/>
  <c r="L65" i="5"/>
  <c r="AC65" i="5" s="1"/>
  <c r="AS64" i="5"/>
  <c r="AN64" i="5"/>
  <c r="AE64" i="5"/>
  <c r="AP64" i="5" s="1"/>
  <c r="X64" i="5"/>
  <c r="P64" i="5"/>
  <c r="L64" i="5"/>
  <c r="AC64" i="5" s="1"/>
  <c r="AN61" i="5"/>
  <c r="AE61" i="5"/>
  <c r="AP61" i="5" s="1"/>
  <c r="X61" i="5"/>
  <c r="P61" i="5"/>
  <c r="L61" i="5"/>
  <c r="AC61" i="5" s="1"/>
  <c r="AN60" i="5"/>
  <c r="AE60" i="5"/>
  <c r="X60" i="5"/>
  <c r="P60" i="5"/>
  <c r="L60" i="5"/>
  <c r="AC60" i="5" s="1"/>
  <c r="AS57" i="5"/>
  <c r="AR57" i="5"/>
  <c r="AN57" i="5"/>
  <c r="AE57" i="5"/>
  <c r="AP57" i="5" s="1"/>
  <c r="X57" i="5"/>
  <c r="P57" i="5"/>
  <c r="L57" i="5"/>
  <c r="AC57" i="5" s="1"/>
  <c r="AN49" i="5"/>
  <c r="AE49" i="5"/>
  <c r="AP49" i="5" s="1"/>
  <c r="X49" i="5"/>
  <c r="P49" i="5"/>
  <c r="L49" i="5"/>
  <c r="AC49" i="5" s="1"/>
  <c r="AN46" i="5"/>
  <c r="AE46" i="5"/>
  <c r="AP46" i="5" s="1"/>
  <c r="X46" i="5"/>
  <c r="P46" i="5"/>
  <c r="L46" i="5"/>
  <c r="AC46" i="5" s="1"/>
  <c r="AN45" i="5"/>
  <c r="AE45" i="5"/>
  <c r="AP45" i="5" s="1"/>
  <c r="X45" i="5"/>
  <c r="P45" i="5"/>
  <c r="L45" i="5"/>
  <c r="AC45" i="5" s="1"/>
  <c r="AN44" i="5"/>
  <c r="AE44" i="5"/>
  <c r="AP44" i="5" s="1"/>
  <c r="X44" i="5"/>
  <c r="P44" i="5"/>
  <c r="L44" i="5"/>
  <c r="AC44" i="5" s="1"/>
  <c r="AN43" i="5"/>
  <c r="AE43" i="5"/>
  <c r="AP43" i="5" s="1"/>
  <c r="X43" i="5"/>
  <c r="P43" i="5"/>
  <c r="L43" i="5"/>
  <c r="AC43" i="5" s="1"/>
  <c r="AN42" i="5"/>
  <c r="AE42" i="5"/>
  <c r="AP42" i="5" s="1"/>
  <c r="X42" i="5"/>
  <c r="P42" i="5"/>
  <c r="L42" i="5"/>
  <c r="AC42" i="5" s="1"/>
  <c r="AN41" i="5"/>
  <c r="AE41" i="5"/>
  <c r="AP41" i="5" s="1"/>
  <c r="X41" i="5"/>
  <c r="P41" i="5"/>
  <c r="L41" i="5"/>
  <c r="AC41" i="5" s="1"/>
  <c r="AN40" i="5"/>
  <c r="AE40" i="5"/>
  <c r="AP40" i="5" s="1"/>
  <c r="X40" i="5"/>
  <c r="P40" i="5"/>
  <c r="L40" i="5"/>
  <c r="AC40" i="5" s="1"/>
  <c r="AN39" i="5"/>
  <c r="AE39" i="5"/>
  <c r="AP39" i="5" s="1"/>
  <c r="X39" i="5"/>
  <c r="P39" i="5"/>
  <c r="L39" i="5"/>
  <c r="AC39" i="5" s="1"/>
  <c r="AN38" i="5"/>
  <c r="AE38" i="5"/>
  <c r="AP38" i="5" s="1"/>
  <c r="X38" i="5"/>
  <c r="P38" i="5"/>
  <c r="L38" i="5"/>
  <c r="AC38" i="5" s="1"/>
  <c r="AN37" i="5"/>
  <c r="AE37" i="5"/>
  <c r="AP37" i="5" s="1"/>
  <c r="X37" i="5"/>
  <c r="P37" i="5"/>
  <c r="L37" i="5"/>
  <c r="AC37" i="5" s="1"/>
  <c r="AN36" i="5"/>
  <c r="AE36" i="5"/>
  <c r="AP36" i="5" s="1"/>
  <c r="X36" i="5"/>
  <c r="P36" i="5"/>
  <c r="L36" i="5"/>
  <c r="AC36" i="5" s="1"/>
  <c r="AN33" i="5"/>
  <c r="AE33" i="5"/>
  <c r="AP33" i="5" s="1"/>
  <c r="X33" i="5"/>
  <c r="P33" i="5"/>
  <c r="L33" i="5"/>
  <c r="AC33" i="5" s="1"/>
  <c r="AN32" i="5"/>
  <c r="AE32" i="5"/>
  <c r="AP32" i="5" s="1"/>
  <c r="X32" i="5"/>
  <c r="P32" i="5"/>
  <c r="L32" i="5"/>
  <c r="AC32" i="5" s="1"/>
  <c r="AN31" i="5"/>
  <c r="AE31" i="5"/>
  <c r="AP31" i="5" s="1"/>
  <c r="X31" i="5"/>
  <c r="P31" i="5"/>
  <c r="L31" i="5"/>
  <c r="AC31" i="5" s="1"/>
  <c r="AN30" i="5"/>
  <c r="AE30" i="5"/>
  <c r="AP30" i="5" s="1"/>
  <c r="X30" i="5"/>
  <c r="P30" i="5"/>
  <c r="L30" i="5"/>
  <c r="AC30" i="5" s="1"/>
  <c r="AN29" i="5"/>
  <c r="AE29" i="5"/>
  <c r="AP29" i="5" s="1"/>
  <c r="X29" i="5"/>
  <c r="P29" i="5"/>
  <c r="L29" i="5"/>
  <c r="AC29" i="5" s="1"/>
  <c r="AN28" i="5"/>
  <c r="AE28" i="5"/>
  <c r="AP28" i="5" s="1"/>
  <c r="X28" i="5"/>
  <c r="P28" i="5"/>
  <c r="L28" i="5"/>
  <c r="AC28" i="5" s="1"/>
  <c r="AN27" i="5"/>
  <c r="AE27" i="5"/>
  <c r="AP27" i="5" s="1"/>
  <c r="X27" i="5"/>
  <c r="P27" i="5"/>
  <c r="L27" i="5"/>
  <c r="AC27" i="5" s="1"/>
  <c r="AN26" i="5"/>
  <c r="AE26" i="5"/>
  <c r="AP26" i="5" s="1"/>
  <c r="X26" i="5"/>
  <c r="P26" i="5"/>
  <c r="L26" i="5"/>
  <c r="AC26" i="5" s="1"/>
  <c r="AN24" i="5"/>
  <c r="AE24" i="5"/>
  <c r="AP24" i="5" s="1"/>
  <c r="X24" i="5"/>
  <c r="P24" i="5"/>
  <c r="L24" i="5"/>
  <c r="AC24" i="5" s="1"/>
  <c r="AN25" i="5"/>
  <c r="AE25" i="5"/>
  <c r="AP25" i="5" s="1"/>
  <c r="X25" i="5"/>
  <c r="P25" i="5"/>
  <c r="L25" i="5"/>
  <c r="AC25" i="5" s="1"/>
  <c r="AN23" i="5"/>
  <c r="AE23" i="5"/>
  <c r="AP23" i="5" s="1"/>
  <c r="X23" i="5"/>
  <c r="P23" i="5"/>
  <c r="L23" i="5"/>
  <c r="AC23" i="5" s="1"/>
  <c r="AN22" i="5"/>
  <c r="AE22" i="5"/>
  <c r="AP22" i="5" s="1"/>
  <c r="X22" i="5"/>
  <c r="P22" i="5"/>
  <c r="L22" i="5"/>
  <c r="AC22" i="5" s="1"/>
  <c r="AN21" i="5"/>
  <c r="AE21" i="5"/>
  <c r="AP21" i="5" s="1"/>
  <c r="X21" i="5"/>
  <c r="P21" i="5"/>
  <c r="L21" i="5"/>
  <c r="AC21" i="5" s="1"/>
  <c r="AN20" i="5"/>
  <c r="AE20" i="5"/>
  <c r="AP20" i="5" s="1"/>
  <c r="X20" i="5"/>
  <c r="P20" i="5"/>
  <c r="L20" i="5"/>
  <c r="AC20" i="5" s="1"/>
  <c r="AN19" i="5"/>
  <c r="AE19" i="5"/>
  <c r="X19" i="5"/>
  <c r="P19" i="5"/>
  <c r="L19" i="5"/>
  <c r="AC19" i="5" s="1"/>
  <c r="AN52" i="5"/>
  <c r="AE52" i="5"/>
  <c r="AP52" i="5" s="1"/>
  <c r="X52" i="5"/>
  <c r="P52" i="5"/>
  <c r="L52" i="5"/>
  <c r="AC52" i="5" s="1"/>
  <c r="AN16" i="5"/>
  <c r="AE16" i="5"/>
  <c r="AP16" i="5" s="1"/>
  <c r="X16" i="5"/>
  <c r="P16" i="5"/>
  <c r="L16" i="5"/>
  <c r="AC16" i="5" s="1"/>
  <c r="AN15" i="5"/>
  <c r="AE15" i="5"/>
  <c r="AP15" i="5" s="1"/>
  <c r="X15" i="5"/>
  <c r="P15" i="5"/>
  <c r="L15" i="5"/>
  <c r="AC15" i="5" s="1"/>
  <c r="AN14" i="5"/>
  <c r="AE14" i="5"/>
  <c r="AP14" i="5" s="1"/>
  <c r="X14" i="5"/>
  <c r="P14" i="5"/>
  <c r="L14" i="5"/>
  <c r="AC14" i="5" s="1"/>
  <c r="AN11" i="5"/>
  <c r="AE11" i="5"/>
  <c r="AP11" i="5" s="1"/>
  <c r="X11" i="5"/>
  <c r="P11" i="5"/>
  <c r="L11" i="5"/>
  <c r="AC11" i="5" s="1"/>
  <c r="AN10" i="5"/>
  <c r="AE10" i="5"/>
  <c r="AP10" i="5" s="1"/>
  <c r="X10" i="5"/>
  <c r="P10" i="5"/>
  <c r="L10" i="5"/>
  <c r="AC10" i="5" s="1"/>
  <c r="AN8" i="5"/>
  <c r="AE8" i="5"/>
  <c r="AP8" i="5" s="1"/>
  <c r="X8" i="5"/>
  <c r="P8" i="5"/>
  <c r="L8" i="5"/>
  <c r="AC8" i="5" s="1"/>
  <c r="AN9" i="5"/>
  <c r="AE9" i="5"/>
  <c r="AP9" i="5" s="1"/>
  <c r="X9" i="5"/>
  <c r="P9" i="5"/>
  <c r="L9" i="5"/>
  <c r="AC9" i="5" s="1"/>
  <c r="AN7" i="5"/>
  <c r="AE7" i="5"/>
  <c r="AP7" i="5" s="1"/>
  <c r="X7" i="5"/>
  <c r="P7" i="5"/>
  <c r="L7" i="5"/>
  <c r="AC7" i="5" s="1"/>
  <c r="AN6" i="5"/>
  <c r="AE6" i="5"/>
  <c r="AP6" i="5" s="1"/>
  <c r="X6" i="5"/>
  <c r="P6" i="5"/>
  <c r="L6" i="5"/>
  <c r="AC6" i="5" s="1"/>
  <c r="AN5" i="5"/>
  <c r="AE5" i="5"/>
  <c r="AP5" i="5" s="1"/>
  <c r="X5" i="5"/>
  <c r="P5" i="5"/>
  <c r="L5" i="5"/>
  <c r="AC5" i="5" s="1"/>
  <c r="AN4" i="5"/>
  <c r="AE4" i="5"/>
  <c r="AP4" i="5" s="1"/>
  <c r="X4" i="5"/>
  <c r="P4" i="5"/>
  <c r="L4" i="5"/>
  <c r="AC4" i="5" s="1"/>
  <c r="AN3" i="5"/>
  <c r="AE3" i="5"/>
  <c r="AP3" i="5" s="1"/>
  <c r="X3" i="5"/>
  <c r="P3" i="5"/>
  <c r="L3" i="5"/>
  <c r="AN2" i="5"/>
  <c r="AE2" i="5"/>
  <c r="AP2" i="5" s="1"/>
  <c r="X2" i="5"/>
  <c r="P2" i="5"/>
  <c r="L2" i="5"/>
  <c r="AC2" i="5" s="1"/>
  <c r="AN50" i="5"/>
  <c r="AE50" i="5"/>
  <c r="AP50" i="5" s="1"/>
  <c r="X50" i="5"/>
  <c r="P50" i="5"/>
  <c r="L50" i="5"/>
  <c r="AC50" i="5" s="1"/>
  <c r="AN51" i="5"/>
  <c r="AE51" i="5"/>
  <c r="AP51" i="5" s="1"/>
  <c r="X51" i="5"/>
  <c r="P51" i="5"/>
  <c r="L51" i="5"/>
  <c r="AC51" i="5" s="1"/>
  <c r="AE138" i="5" l="1"/>
  <c r="AR125" i="5"/>
  <c r="AR138" i="5"/>
  <c r="AP134" i="5"/>
  <c r="AP138" i="5" s="1"/>
  <c r="AS106" i="5"/>
  <c r="AR99" i="5"/>
  <c r="AS62" i="5"/>
  <c r="Z85" i="6"/>
  <c r="AA85" i="6" s="1"/>
  <c r="AO85" i="6" s="1"/>
  <c r="Y25" i="6"/>
  <c r="AQ25" i="6" s="1"/>
  <c r="Z5" i="6"/>
  <c r="AA5" i="6" s="1"/>
  <c r="Y38" i="6"/>
  <c r="AQ38" i="6" s="1"/>
  <c r="Y96" i="6"/>
  <c r="AQ96" i="6" s="1"/>
  <c r="Y78" i="6"/>
  <c r="AQ78" i="6" s="1"/>
  <c r="Z6" i="6"/>
  <c r="AA6" i="6" s="1"/>
  <c r="AO6" i="6" s="1"/>
  <c r="Z34" i="6"/>
  <c r="AA34" i="6" s="1"/>
  <c r="AO34" i="6" s="1"/>
  <c r="Z86" i="6"/>
  <c r="AA86" i="6" s="1"/>
  <c r="AO86" i="6" s="1"/>
  <c r="Y50" i="6"/>
  <c r="AQ50" i="6" s="1"/>
  <c r="Y62" i="6"/>
  <c r="AQ62" i="6" s="1"/>
  <c r="Z29" i="6"/>
  <c r="AA29" i="6" s="1"/>
  <c r="AO29" i="6" s="1"/>
  <c r="Z10" i="6"/>
  <c r="AA10" i="6" s="1"/>
  <c r="Z43" i="6"/>
  <c r="AA43" i="6" s="1"/>
  <c r="AO43" i="6" s="1"/>
  <c r="Y27" i="6"/>
  <c r="AQ27" i="6" s="1"/>
  <c r="Z7" i="6"/>
  <c r="AA7" i="6" s="1"/>
  <c r="AO7" i="6" s="1"/>
  <c r="Y21" i="6"/>
  <c r="AQ21" i="6" s="1"/>
  <c r="Y65" i="6"/>
  <c r="AQ65" i="6" s="1"/>
  <c r="Y3" i="6"/>
  <c r="AQ3" i="6" s="1"/>
  <c r="Z82" i="6"/>
  <c r="AA82" i="6" s="1"/>
  <c r="AO82" i="6" s="1"/>
  <c r="Y5" i="6"/>
  <c r="AQ5" i="6" s="1"/>
  <c r="Z21" i="6"/>
  <c r="AA21" i="6" s="1"/>
  <c r="AO21" i="6" s="1"/>
  <c r="Y12" i="6"/>
  <c r="AQ12" i="6" s="1"/>
  <c r="Z13" i="6"/>
  <c r="AA13" i="6" s="1"/>
  <c r="Y34" i="6"/>
  <c r="AQ34" i="6" s="1"/>
  <c r="Y42" i="6"/>
  <c r="AQ42" i="6" s="1"/>
  <c r="Z76" i="6"/>
  <c r="AA76" i="6" s="1"/>
  <c r="AO76" i="6" s="1"/>
  <c r="Y86" i="6"/>
  <c r="AQ86" i="6" s="1"/>
  <c r="Z54" i="6"/>
  <c r="AA54" i="6" s="1"/>
  <c r="AO54" i="6" s="1"/>
  <c r="Z11" i="6"/>
  <c r="AA11" i="6" s="1"/>
  <c r="AO11" i="6" s="1"/>
  <c r="Z23" i="6"/>
  <c r="AA23" i="6" s="1"/>
  <c r="AO23" i="6" s="1"/>
  <c r="Z74" i="6"/>
  <c r="AA74" i="6" s="1"/>
  <c r="AO74" i="6" s="1"/>
  <c r="Z70" i="6"/>
  <c r="AA70" i="6" s="1"/>
  <c r="AO70" i="6" s="1"/>
  <c r="Y28" i="6"/>
  <c r="AQ28" i="6" s="1"/>
  <c r="Z66" i="6"/>
  <c r="AA66" i="6" s="1"/>
  <c r="AO66" i="6" s="1"/>
  <c r="Z40" i="6"/>
  <c r="AA40" i="6" s="1"/>
  <c r="AO40" i="6" s="1"/>
  <c r="AC21" i="6"/>
  <c r="Z12" i="6"/>
  <c r="AA12" i="6" s="1"/>
  <c r="AO12" i="6" s="1"/>
  <c r="Z15" i="6"/>
  <c r="AA15" i="6" s="1"/>
  <c r="AO15" i="6" s="1"/>
  <c r="Y53" i="6"/>
  <c r="AQ53" i="6" s="1"/>
  <c r="Z20" i="6"/>
  <c r="AA20" i="6" s="1"/>
  <c r="AO20" i="6" s="1"/>
  <c r="Y58" i="6"/>
  <c r="AQ58" i="6" s="1"/>
  <c r="Y89" i="6"/>
  <c r="AQ89" i="6" s="1"/>
  <c r="Y39" i="6"/>
  <c r="AQ39" i="6" s="1"/>
  <c r="Y35" i="6"/>
  <c r="AQ35" i="6" s="1"/>
  <c r="Y88" i="6"/>
  <c r="AQ88" i="6" s="1"/>
  <c r="Z94" i="6"/>
  <c r="AA94" i="6" s="1"/>
  <c r="AO94" i="6" s="1"/>
  <c r="Z84" i="6"/>
  <c r="AA84" i="6" s="1"/>
  <c r="AO84" i="6" s="1"/>
  <c r="Z19" i="6"/>
  <c r="AA19" i="6" s="1"/>
  <c r="AO19" i="6" s="1"/>
  <c r="Y13" i="6"/>
  <c r="AQ13" i="6" s="1"/>
  <c r="Z14" i="6"/>
  <c r="AA14" i="6" s="1"/>
  <c r="AO14" i="6" s="1"/>
  <c r="Z60" i="6"/>
  <c r="AA60" i="6" s="1"/>
  <c r="AO60" i="6" s="1"/>
  <c r="Z9" i="6"/>
  <c r="AA9" i="6" s="1"/>
  <c r="AO9" i="6" s="1"/>
  <c r="Z2" i="6"/>
  <c r="AA2" i="6" s="1"/>
  <c r="AO2" i="6" s="1"/>
  <c r="Z61" i="6"/>
  <c r="AA61" i="6" s="1"/>
  <c r="AO61" i="6" s="1"/>
  <c r="Z49" i="6"/>
  <c r="AA49" i="6" s="1"/>
  <c r="AO49" i="6" s="1"/>
  <c r="Y66" i="6"/>
  <c r="AQ66" i="6" s="1"/>
  <c r="Y69" i="6"/>
  <c r="AQ69" i="6" s="1"/>
  <c r="Y32" i="6"/>
  <c r="AQ32" i="6" s="1"/>
  <c r="Z75" i="6"/>
  <c r="AA75" i="6" s="1"/>
  <c r="AO75" i="6" s="1"/>
  <c r="Z81" i="6"/>
  <c r="AA81" i="6" s="1"/>
  <c r="AO81" i="6" s="1"/>
  <c r="Z88" i="6"/>
  <c r="AA88" i="6" s="1"/>
  <c r="AO88" i="6" s="1"/>
  <c r="AT88" i="6" s="1"/>
  <c r="Z58" i="6"/>
  <c r="AA58" i="6" s="1"/>
  <c r="AO58" i="6" s="1"/>
  <c r="Y74" i="6"/>
  <c r="AQ74" i="6" s="1"/>
  <c r="AT74" i="6" s="1"/>
  <c r="Z87" i="6"/>
  <c r="AA87" i="6" s="1"/>
  <c r="AO87" i="6" s="1"/>
  <c r="Z50" i="6"/>
  <c r="AA50" i="6" s="1"/>
  <c r="AO50" i="6" s="1"/>
  <c r="AT50" i="6" s="1"/>
  <c r="Z89" i="6"/>
  <c r="AA89" i="6" s="1"/>
  <c r="AO89" i="6" s="1"/>
  <c r="AT89" i="6" s="1"/>
  <c r="Y83" i="6"/>
  <c r="AQ83" i="6" s="1"/>
  <c r="Y43" i="6"/>
  <c r="AQ43" i="6" s="1"/>
  <c r="Y55" i="6"/>
  <c r="AQ55" i="6" s="1"/>
  <c r="Y71" i="6"/>
  <c r="AQ71" i="6" s="1"/>
  <c r="Z26" i="6"/>
  <c r="AA26" i="6" s="1"/>
  <c r="AO26" i="6" s="1"/>
  <c r="Y64" i="6"/>
  <c r="AQ64" i="6" s="1"/>
  <c r="Z93" i="6"/>
  <c r="AA93" i="6" s="1"/>
  <c r="AO93" i="6" s="1"/>
  <c r="Z18" i="6"/>
  <c r="AA18" i="6" s="1"/>
  <c r="AO18" i="6" s="1"/>
  <c r="Z65" i="6"/>
  <c r="AA65" i="6" s="1"/>
  <c r="AO65" i="6" s="1"/>
  <c r="Z77" i="6"/>
  <c r="AA77" i="6" s="1"/>
  <c r="AO77" i="6" s="1"/>
  <c r="Y15" i="6"/>
  <c r="AQ15" i="6" s="1"/>
  <c r="Z53" i="6"/>
  <c r="AA53" i="6" s="1"/>
  <c r="AO53" i="6" s="1"/>
  <c r="Z73" i="6"/>
  <c r="AA73" i="6" s="1"/>
  <c r="AO73" i="6" s="1"/>
  <c r="Z83" i="6"/>
  <c r="AA83" i="6" s="1"/>
  <c r="AO83" i="6" s="1"/>
  <c r="Z59" i="6"/>
  <c r="AA59" i="6" s="1"/>
  <c r="AO59" i="6" s="1"/>
  <c r="Y59" i="6"/>
  <c r="AQ59" i="6" s="1"/>
  <c r="Z30" i="6"/>
  <c r="AA30" i="6" s="1"/>
  <c r="AO30" i="6" s="1"/>
  <c r="Y30" i="6"/>
  <c r="AQ30" i="6" s="1"/>
  <c r="Z80" i="6"/>
  <c r="AA80" i="6" s="1"/>
  <c r="AO80" i="6" s="1"/>
  <c r="Y80" i="6"/>
  <c r="AQ80" i="6" s="1"/>
  <c r="Y41" i="6"/>
  <c r="AQ41" i="6" s="1"/>
  <c r="Y8" i="6"/>
  <c r="AQ8" i="6" s="1"/>
  <c r="Y48" i="6"/>
  <c r="AQ48" i="6" s="1"/>
  <c r="Z56" i="6"/>
  <c r="AA56" i="6" s="1"/>
  <c r="AO56" i="6" s="1"/>
  <c r="Y56" i="6"/>
  <c r="AQ56" i="6" s="1"/>
  <c r="AC28" i="6"/>
  <c r="Y7" i="6"/>
  <c r="AQ7" i="6" s="1"/>
  <c r="Y11" i="6"/>
  <c r="AQ11" i="6" s="1"/>
  <c r="Y16" i="6"/>
  <c r="AQ16" i="6" s="1"/>
  <c r="Z17" i="6"/>
  <c r="AA17" i="6" s="1"/>
  <c r="AO17" i="6" s="1"/>
  <c r="Y17" i="6"/>
  <c r="AQ17" i="6" s="1"/>
  <c r="Y20" i="6"/>
  <c r="AQ20" i="6" s="1"/>
  <c r="Z44" i="6"/>
  <c r="AA44" i="6" s="1"/>
  <c r="AO44" i="6" s="1"/>
  <c r="Y44" i="6"/>
  <c r="AQ44" i="6" s="1"/>
  <c r="Z36" i="6"/>
  <c r="AA36" i="6" s="1"/>
  <c r="AO36" i="6" s="1"/>
  <c r="Y36" i="6"/>
  <c r="AQ36" i="6" s="1"/>
  <c r="Y63" i="6"/>
  <c r="AQ63" i="6" s="1"/>
  <c r="Z63" i="6"/>
  <c r="AA63" i="6" s="1"/>
  <c r="AO63" i="6" s="1"/>
  <c r="Z91" i="6"/>
  <c r="AA91" i="6" s="1"/>
  <c r="AO91" i="6" s="1"/>
  <c r="Y91" i="6"/>
  <c r="AQ91" i="6" s="1"/>
  <c r="Y72" i="6"/>
  <c r="AQ72" i="6" s="1"/>
  <c r="Z72" i="6"/>
  <c r="AA72" i="6" s="1"/>
  <c r="AO72" i="6" s="1"/>
  <c r="Y49" i="6"/>
  <c r="AQ49" i="6" s="1"/>
  <c r="Y76" i="6"/>
  <c r="AQ76" i="6" s="1"/>
  <c r="Z78" i="6"/>
  <c r="AA78" i="6" s="1"/>
  <c r="AO78" i="6" s="1"/>
  <c r="Z27" i="6"/>
  <c r="AA27" i="6" s="1"/>
  <c r="AO27" i="6" s="1"/>
  <c r="Y81" i="6"/>
  <c r="AQ81" i="6" s="1"/>
  <c r="Z24" i="6"/>
  <c r="AA24" i="6" s="1"/>
  <c r="AO24" i="6" s="1"/>
  <c r="Z96" i="6"/>
  <c r="AA96" i="6" s="1"/>
  <c r="AO96" i="6" s="1"/>
  <c r="Z22" i="6"/>
  <c r="AA22" i="6" s="1"/>
  <c r="AO22" i="6" s="1"/>
  <c r="Z90" i="6"/>
  <c r="AA90" i="6" s="1"/>
  <c r="AO90" i="6" s="1"/>
  <c r="Y68" i="6"/>
  <c r="AQ68" i="6" s="1"/>
  <c r="Y82" i="6"/>
  <c r="AQ82" i="6" s="1"/>
  <c r="AT82" i="6" s="1"/>
  <c r="Z31" i="6"/>
  <c r="AA31" i="6" s="1"/>
  <c r="AO31" i="6" s="1"/>
  <c r="Y29" i="6"/>
  <c r="AQ29" i="6" s="1"/>
  <c r="Y37" i="6"/>
  <c r="AQ37" i="6" s="1"/>
  <c r="Z38" i="6"/>
  <c r="AA38" i="6" s="1"/>
  <c r="AO38" i="6" s="1"/>
  <c r="AT38" i="6" s="1"/>
  <c r="Z71" i="6"/>
  <c r="AA71" i="6" s="1"/>
  <c r="AO71" i="6" s="1"/>
  <c r="Z25" i="6"/>
  <c r="AA25" i="6" s="1"/>
  <c r="AO25" i="6" s="1"/>
  <c r="Y93" i="6"/>
  <c r="AQ93" i="6" s="1"/>
  <c r="Z8" i="6"/>
  <c r="AA8" i="6" s="1"/>
  <c r="AO8" i="6" s="1"/>
  <c r="Z4" i="6"/>
  <c r="AA4" i="6" s="1"/>
  <c r="AO4" i="6" s="1"/>
  <c r="Y6" i="6"/>
  <c r="AQ6" i="6" s="1"/>
  <c r="AT6" i="6" s="1"/>
  <c r="Y77" i="6"/>
  <c r="AQ77" i="6" s="1"/>
  <c r="Z16" i="6"/>
  <c r="AA16" i="6" s="1"/>
  <c r="AO16" i="6" s="1"/>
  <c r="Z48" i="6"/>
  <c r="AA48" i="6" s="1"/>
  <c r="AO48" i="6" s="1"/>
  <c r="Z62" i="6"/>
  <c r="AA62" i="6" s="1"/>
  <c r="AO62" i="6" s="1"/>
  <c r="AT62" i="6" s="1"/>
  <c r="Y73" i="6"/>
  <c r="AQ73" i="6" s="1"/>
  <c r="AT73" i="6" s="1"/>
  <c r="Y9" i="6"/>
  <c r="AQ9" i="6" s="1"/>
  <c r="Z3" i="6"/>
  <c r="AA3" i="6" s="1"/>
  <c r="AO3" i="6" s="1"/>
  <c r="Y61" i="6"/>
  <c r="AQ61" i="6" s="1"/>
  <c r="Z28" i="6"/>
  <c r="AA28" i="6" s="1"/>
  <c r="AO28" i="6" s="1"/>
  <c r="Z39" i="6"/>
  <c r="AA39" i="6" s="1"/>
  <c r="AO39" i="6" s="1"/>
  <c r="Y31" i="6"/>
  <c r="AQ31" i="6" s="1"/>
  <c r="Y57" i="6"/>
  <c r="AQ57" i="6" s="1"/>
  <c r="Z32" i="6"/>
  <c r="AA32" i="6" s="1"/>
  <c r="AO32" i="6" s="1"/>
  <c r="Y85" i="6"/>
  <c r="AQ85" i="6" s="1"/>
  <c r="Y19" i="6"/>
  <c r="AQ19" i="6" s="1"/>
  <c r="Y90" i="6"/>
  <c r="AQ90" i="6" s="1"/>
  <c r="Y14" i="6"/>
  <c r="AQ14" i="6" s="1"/>
  <c r="Y23" i="6"/>
  <c r="AQ23" i="6" s="1"/>
  <c r="Y60" i="6"/>
  <c r="AQ60" i="6" s="1"/>
  <c r="Y87" i="6"/>
  <c r="AQ87" i="6" s="1"/>
  <c r="Y2" i="6"/>
  <c r="AQ2" i="6" s="1"/>
  <c r="AC34" i="6"/>
  <c r="Z42" i="6"/>
  <c r="AA42" i="6" s="1"/>
  <c r="AO42" i="6" s="1"/>
  <c r="AC49" i="6"/>
  <c r="Z69" i="6"/>
  <c r="AA69" i="6" s="1"/>
  <c r="AO69" i="6" s="1"/>
  <c r="AC82" i="6"/>
  <c r="Z57" i="6"/>
  <c r="AA57" i="6" s="1"/>
  <c r="AO57" i="6" s="1"/>
  <c r="AC29" i="6"/>
  <c r="AP29" i="6"/>
  <c r="Z35" i="6"/>
  <c r="AA35" i="6" s="1"/>
  <c r="AO35" i="6" s="1"/>
  <c r="Y40" i="6"/>
  <c r="AQ40" i="6" s="1"/>
  <c r="Y75" i="6"/>
  <c r="AQ75" i="6" s="1"/>
  <c r="Y26" i="6"/>
  <c r="AQ26" i="6" s="1"/>
  <c r="AP78" i="6"/>
  <c r="Z52" i="6"/>
  <c r="AA52" i="6" s="1"/>
  <c r="AO52" i="6" s="1"/>
  <c r="Y52" i="6"/>
  <c r="AQ52" i="6" s="1"/>
  <c r="AP25" i="6"/>
  <c r="Z79" i="6"/>
  <c r="AA79" i="6" s="1"/>
  <c r="AO79" i="6" s="1"/>
  <c r="Y79" i="6"/>
  <c r="AQ79" i="6" s="1"/>
  <c r="Z37" i="6"/>
  <c r="AA37" i="6" s="1"/>
  <c r="AO37" i="6" s="1"/>
  <c r="Z41" i="6"/>
  <c r="AA41" i="6" s="1"/>
  <c r="AO41" i="6" s="1"/>
  <c r="AT41" i="6" s="1"/>
  <c r="Z55" i="6"/>
  <c r="AA55" i="6" s="1"/>
  <c r="AO55" i="6" s="1"/>
  <c r="Z95" i="6"/>
  <c r="AA95" i="6" s="1"/>
  <c r="AO95" i="6" s="1"/>
  <c r="Y95" i="6"/>
  <c r="AQ95" i="6" s="1"/>
  <c r="Z33" i="6"/>
  <c r="AA33" i="6" s="1"/>
  <c r="AO33" i="6" s="1"/>
  <c r="Y33" i="6"/>
  <c r="AQ33" i="6" s="1"/>
  <c r="Z64" i="6"/>
  <c r="AA64" i="6" s="1"/>
  <c r="AO64" i="6" s="1"/>
  <c r="AO5" i="6"/>
  <c r="Y24" i="6"/>
  <c r="AQ24" i="6" s="1"/>
  <c r="AP8" i="6"/>
  <c r="Y54" i="6"/>
  <c r="AQ54" i="6" s="1"/>
  <c r="Y4" i="6"/>
  <c r="Y84" i="6"/>
  <c r="AQ84" i="6" s="1"/>
  <c r="AT84" i="6" s="1"/>
  <c r="AC84" i="6"/>
  <c r="Z92" i="6"/>
  <c r="AA92" i="6" s="1"/>
  <c r="AO92" i="6" s="1"/>
  <c r="Y92" i="6"/>
  <c r="AQ92" i="6" s="1"/>
  <c r="AO10" i="6"/>
  <c r="AP65" i="6"/>
  <c r="Y10" i="6"/>
  <c r="AC10" i="6"/>
  <c r="Y70" i="6"/>
  <c r="AQ70" i="6" s="1"/>
  <c r="AT70" i="6" s="1"/>
  <c r="AC70" i="6"/>
  <c r="Y94" i="6"/>
  <c r="AQ94" i="6" s="1"/>
  <c r="AP4" i="6"/>
  <c r="Y67" i="6"/>
  <c r="AQ67" i="6" s="1"/>
  <c r="Z67" i="6"/>
  <c r="AA67" i="6" s="1"/>
  <c r="AO67" i="6" s="1"/>
  <c r="Y51" i="6"/>
  <c r="AQ51" i="6" s="1"/>
  <c r="Z51" i="6"/>
  <c r="AA51" i="6" s="1"/>
  <c r="AO51" i="6" s="1"/>
  <c r="AO13" i="6"/>
  <c r="Y18" i="6"/>
  <c r="AC18" i="6"/>
  <c r="AP18" i="6"/>
  <c r="Y22" i="6"/>
  <c r="AQ22" i="6" s="1"/>
  <c r="AC19" i="6"/>
  <c r="AC15" i="6"/>
  <c r="Z68" i="6"/>
  <c r="AA68" i="6" s="1"/>
  <c r="AO68" i="6" s="1"/>
  <c r="AT68" i="6" s="1"/>
  <c r="AC14" i="6"/>
  <c r="AC23" i="6"/>
  <c r="AC60" i="6"/>
  <c r="AC87" i="6"/>
  <c r="AC2" i="6"/>
  <c r="AP12" i="6"/>
  <c r="AP11" i="6"/>
  <c r="AS138" i="5"/>
  <c r="AE106" i="5"/>
  <c r="AR47" i="5"/>
  <c r="AR62" i="5"/>
  <c r="AS82" i="5"/>
  <c r="AR106" i="5"/>
  <c r="AE125" i="5"/>
  <c r="AS125" i="5"/>
  <c r="AP101" i="5"/>
  <c r="AP106" i="5" s="1"/>
  <c r="AS99" i="5"/>
  <c r="AR67" i="5"/>
  <c r="AR34" i="5"/>
  <c r="AP82" i="5"/>
  <c r="AP99" i="5"/>
  <c r="AP53" i="5"/>
  <c r="AS17" i="5"/>
  <c r="AE90" i="5"/>
  <c r="AS90" i="5"/>
  <c r="AE99" i="5"/>
  <c r="AS53" i="5"/>
  <c r="AE82" i="5"/>
  <c r="AR53" i="5"/>
  <c r="AR74" i="5"/>
  <c r="AS74" i="5"/>
  <c r="AR90" i="5"/>
  <c r="AP90" i="5"/>
  <c r="AR82" i="5"/>
  <c r="Z128" i="5"/>
  <c r="AA128" i="5" s="1"/>
  <c r="AO128" i="5" s="1"/>
  <c r="Z137" i="5"/>
  <c r="AA137" i="5" s="1"/>
  <c r="AO137" i="5" s="1"/>
  <c r="Y120" i="5"/>
  <c r="AQ120" i="5" s="1"/>
  <c r="Y136" i="5"/>
  <c r="AQ136" i="5" s="1"/>
  <c r="AE62" i="5"/>
  <c r="AS67" i="5"/>
  <c r="AE74" i="5"/>
  <c r="AS34" i="5"/>
  <c r="AP67" i="5"/>
  <c r="AP69" i="5"/>
  <c r="AP74" i="5" s="1"/>
  <c r="AP60" i="5"/>
  <c r="AP62" i="5" s="1"/>
  <c r="Y101" i="5"/>
  <c r="AE67" i="5"/>
  <c r="AP47" i="5"/>
  <c r="Z14" i="5"/>
  <c r="AA14" i="5" s="1"/>
  <c r="AO14" i="5" s="1"/>
  <c r="AR17" i="5"/>
  <c r="AE47" i="5"/>
  <c r="AE34" i="5"/>
  <c r="Z96" i="5"/>
  <c r="AA96" i="5" s="1"/>
  <c r="AS47" i="5"/>
  <c r="AP12" i="5"/>
  <c r="AP17" i="5"/>
  <c r="AE17" i="5"/>
  <c r="AP19" i="5"/>
  <c r="AP34" i="5" s="1"/>
  <c r="AS12" i="5"/>
  <c r="Z115" i="5"/>
  <c r="AA115" i="5" s="1"/>
  <c r="AO115" i="5" s="1"/>
  <c r="Z118" i="5"/>
  <c r="AA118" i="5" s="1"/>
  <c r="AO118" i="5" s="1"/>
  <c r="Z123" i="5"/>
  <c r="AA123" i="5" s="1"/>
  <c r="AO123" i="5" s="1"/>
  <c r="AR12" i="5"/>
  <c r="AE12" i="5"/>
  <c r="Y10" i="5"/>
  <c r="AQ10" i="5" s="1"/>
  <c r="Y16" i="5"/>
  <c r="AQ16" i="5" s="1"/>
  <c r="Y52" i="5"/>
  <c r="AQ52" i="5" s="1"/>
  <c r="Z97" i="5"/>
  <c r="AA97" i="5" s="1"/>
  <c r="AO97" i="5" s="1"/>
  <c r="Z117" i="5"/>
  <c r="AA117" i="5" s="1"/>
  <c r="AO117" i="5" s="1"/>
  <c r="Z121" i="5"/>
  <c r="AA121" i="5" s="1"/>
  <c r="AO121" i="5" s="1"/>
  <c r="Y112" i="5"/>
  <c r="AQ112" i="5" s="1"/>
  <c r="Z3" i="5"/>
  <c r="AA3" i="5" s="1"/>
  <c r="AO3" i="5" s="1"/>
  <c r="Z52" i="5"/>
  <c r="AA52" i="5" s="1"/>
  <c r="AO52" i="5" s="1"/>
  <c r="Y71" i="5"/>
  <c r="AQ71" i="5" s="1"/>
  <c r="Z102" i="5"/>
  <c r="AA102" i="5" s="1"/>
  <c r="AO102" i="5" s="1"/>
  <c r="Z113" i="5"/>
  <c r="AA113" i="5" s="1"/>
  <c r="AO113" i="5" s="1"/>
  <c r="Z134" i="5"/>
  <c r="AA134" i="5" s="1"/>
  <c r="Z26" i="5"/>
  <c r="AA26" i="5" s="1"/>
  <c r="AO26" i="5" s="1"/>
  <c r="Y87" i="5"/>
  <c r="AQ87" i="5" s="1"/>
  <c r="Y89" i="5"/>
  <c r="AQ89" i="5" s="1"/>
  <c r="Z36" i="5"/>
  <c r="AA36" i="5" s="1"/>
  <c r="Z37" i="5"/>
  <c r="AA37" i="5" s="1"/>
  <c r="AO37" i="5" s="1"/>
  <c r="Y57" i="5"/>
  <c r="AQ57" i="5" s="1"/>
  <c r="Z23" i="5"/>
  <c r="AA23" i="5" s="1"/>
  <c r="AO23" i="5" s="1"/>
  <c r="Z69" i="5"/>
  <c r="AA69" i="5" s="1"/>
  <c r="Z11" i="5"/>
  <c r="AA11" i="5" s="1"/>
  <c r="AO11" i="5" s="1"/>
  <c r="Z80" i="5"/>
  <c r="AA80" i="5" s="1"/>
  <c r="AO80" i="5" s="1"/>
  <c r="Z44" i="5"/>
  <c r="AA44" i="5" s="1"/>
  <c r="AO44" i="5" s="1"/>
  <c r="Y70" i="5"/>
  <c r="AQ70" i="5" s="1"/>
  <c r="Z24" i="5"/>
  <c r="AA24" i="5" s="1"/>
  <c r="AO24" i="5" s="1"/>
  <c r="Z66" i="5"/>
  <c r="AA66" i="5" s="1"/>
  <c r="AO66" i="5" s="1"/>
  <c r="Z81" i="5"/>
  <c r="AA81" i="5" s="1"/>
  <c r="AO81" i="5" s="1"/>
  <c r="Z61" i="5"/>
  <c r="AA61" i="5" s="1"/>
  <c r="AO61" i="5" s="1"/>
  <c r="Z22" i="5"/>
  <c r="AA22" i="5" s="1"/>
  <c r="AO22" i="5" s="1"/>
  <c r="Z60" i="5"/>
  <c r="AA60" i="5" s="1"/>
  <c r="Y19" i="5"/>
  <c r="Y31" i="5"/>
  <c r="AQ31" i="5" s="1"/>
  <c r="Y65" i="5"/>
  <c r="AQ65" i="5" s="1"/>
  <c r="Y105" i="5"/>
  <c r="AQ105" i="5" s="1"/>
  <c r="Y117" i="5"/>
  <c r="AQ117" i="5" s="1"/>
  <c r="Y128" i="5"/>
  <c r="AQ128" i="5" s="1"/>
  <c r="Z2" i="5"/>
  <c r="AA2" i="5" s="1"/>
  <c r="Z27" i="5"/>
  <c r="AA27" i="5" s="1"/>
  <c r="AO27" i="5" s="1"/>
  <c r="Z30" i="5"/>
  <c r="AA30" i="5" s="1"/>
  <c r="AO30" i="5" s="1"/>
  <c r="Z41" i="5"/>
  <c r="AA41" i="5" s="1"/>
  <c r="AO41" i="5" s="1"/>
  <c r="Z45" i="5"/>
  <c r="AA45" i="5" s="1"/>
  <c r="AO45" i="5" s="1"/>
  <c r="Z65" i="5"/>
  <c r="AA65" i="5" s="1"/>
  <c r="AO65" i="5" s="1"/>
  <c r="Z72" i="5"/>
  <c r="AA72" i="5" s="1"/>
  <c r="AO72" i="5" s="1"/>
  <c r="Z6" i="5"/>
  <c r="AA6" i="5" s="1"/>
  <c r="AO6" i="5" s="1"/>
  <c r="Z7" i="5"/>
  <c r="AA7" i="5" s="1"/>
  <c r="AO7" i="5" s="1"/>
  <c r="Y22" i="5"/>
  <c r="Y37" i="5"/>
  <c r="AQ37" i="5" s="1"/>
  <c r="Y40" i="5"/>
  <c r="AQ40" i="5" s="1"/>
  <c r="Z57" i="5"/>
  <c r="AA57" i="5" s="1"/>
  <c r="AO57" i="5" s="1"/>
  <c r="Y64" i="5"/>
  <c r="Z71" i="5"/>
  <c r="AA71" i="5" s="1"/>
  <c r="AO71" i="5" s="1"/>
  <c r="Z85" i="5"/>
  <c r="AA85" i="5" s="1"/>
  <c r="AO85" i="5" s="1"/>
  <c r="Z86" i="5"/>
  <c r="AA86" i="5" s="1"/>
  <c r="AO86" i="5" s="1"/>
  <c r="Z103" i="5"/>
  <c r="AA103" i="5" s="1"/>
  <c r="AO103" i="5" s="1"/>
  <c r="Y114" i="5"/>
  <c r="AQ114" i="5" s="1"/>
  <c r="Y116" i="5"/>
  <c r="AQ116" i="5" s="1"/>
  <c r="Y122" i="5"/>
  <c r="AQ122" i="5" s="1"/>
  <c r="Y124" i="5"/>
  <c r="AQ124" i="5" s="1"/>
  <c r="Y140" i="5"/>
  <c r="AQ140" i="5" s="1"/>
  <c r="Y2" i="5"/>
  <c r="Z29" i="5"/>
  <c r="AA29" i="5" s="1"/>
  <c r="AO29" i="5" s="1"/>
  <c r="Z33" i="5"/>
  <c r="AA33" i="5" s="1"/>
  <c r="AO33" i="5" s="1"/>
  <c r="Z39" i="5"/>
  <c r="AA39" i="5" s="1"/>
  <c r="AO39" i="5" s="1"/>
  <c r="Z40" i="5"/>
  <c r="AA40" i="5" s="1"/>
  <c r="Z43" i="5"/>
  <c r="AA43" i="5" s="1"/>
  <c r="AO43" i="5" s="1"/>
  <c r="Y73" i="5"/>
  <c r="AQ73" i="5" s="1"/>
  <c r="Y103" i="5"/>
  <c r="AQ103" i="5" s="1"/>
  <c r="Y113" i="5"/>
  <c r="AQ113" i="5" s="1"/>
  <c r="Y118" i="5"/>
  <c r="AQ118" i="5" s="1"/>
  <c r="Z119" i="5"/>
  <c r="AA119" i="5" s="1"/>
  <c r="AO119" i="5" s="1"/>
  <c r="Y121" i="5"/>
  <c r="AQ121" i="5" s="1"/>
  <c r="Y134" i="5"/>
  <c r="Z135" i="5"/>
  <c r="AA135" i="5" s="1"/>
  <c r="AO135" i="5" s="1"/>
  <c r="Y137" i="5"/>
  <c r="Z4" i="5"/>
  <c r="AA4" i="5" s="1"/>
  <c r="AO4" i="5" s="1"/>
  <c r="Y51" i="5"/>
  <c r="Z5" i="5"/>
  <c r="AA5" i="5" s="1"/>
  <c r="AO5" i="5" s="1"/>
  <c r="Z50" i="5"/>
  <c r="AA50" i="5" s="1"/>
  <c r="AO50" i="5" s="1"/>
  <c r="Y3" i="5"/>
  <c r="Y5" i="5"/>
  <c r="AQ5" i="5" s="1"/>
  <c r="Z9" i="5"/>
  <c r="AA9" i="5" s="1"/>
  <c r="AO9" i="5" s="1"/>
  <c r="Y14" i="5"/>
  <c r="Z19" i="5"/>
  <c r="AA19" i="5" s="1"/>
  <c r="Y29" i="5"/>
  <c r="AQ29" i="5" s="1"/>
  <c r="Y33" i="5"/>
  <c r="AQ33" i="5" s="1"/>
  <c r="Y39" i="5"/>
  <c r="Y60" i="5"/>
  <c r="Y66" i="5"/>
  <c r="AQ66" i="5" s="1"/>
  <c r="Y72" i="5"/>
  <c r="AQ72" i="5" s="1"/>
  <c r="Z73" i="5"/>
  <c r="AA73" i="5" s="1"/>
  <c r="AO73" i="5" s="1"/>
  <c r="Z79" i="5"/>
  <c r="AA79" i="5" s="1"/>
  <c r="Y81" i="5"/>
  <c r="AQ81" i="5" s="1"/>
  <c r="Y97" i="5"/>
  <c r="AQ97" i="5" s="1"/>
  <c r="Z105" i="5"/>
  <c r="AA105" i="5" s="1"/>
  <c r="AO105" i="5" s="1"/>
  <c r="Z112" i="5"/>
  <c r="AA112" i="5" s="1"/>
  <c r="AO112" i="5" s="1"/>
  <c r="Z114" i="5"/>
  <c r="AA114" i="5" s="1"/>
  <c r="AO114" i="5" s="1"/>
  <c r="Z120" i="5"/>
  <c r="AA120" i="5" s="1"/>
  <c r="AO120" i="5" s="1"/>
  <c r="Z122" i="5"/>
  <c r="AA122" i="5" s="1"/>
  <c r="AO122" i="5" s="1"/>
  <c r="Z136" i="5"/>
  <c r="AA136" i="5" s="1"/>
  <c r="AO136" i="5" s="1"/>
  <c r="Z140" i="5"/>
  <c r="AA140" i="5" s="1"/>
  <c r="AO140" i="5" s="1"/>
  <c r="Z10" i="5"/>
  <c r="AA10" i="5" s="1"/>
  <c r="Z16" i="5"/>
  <c r="AA16" i="5" s="1"/>
  <c r="Z21" i="5"/>
  <c r="AA21" i="5" s="1"/>
  <c r="AO21" i="5" s="1"/>
  <c r="Z31" i="5"/>
  <c r="AA31" i="5" s="1"/>
  <c r="AO31" i="5" s="1"/>
  <c r="Z87" i="5"/>
  <c r="AA87" i="5" s="1"/>
  <c r="AO87" i="5" s="1"/>
  <c r="Z89" i="5"/>
  <c r="AA89" i="5" s="1"/>
  <c r="AO89" i="5" s="1"/>
  <c r="Z101" i="5"/>
  <c r="AA101" i="5" s="1"/>
  <c r="Z116" i="5"/>
  <c r="AA116" i="5" s="1"/>
  <c r="AO116" i="5" s="1"/>
  <c r="Z124" i="5"/>
  <c r="AA124" i="5" s="1"/>
  <c r="AO124" i="5" s="1"/>
  <c r="Y50" i="5"/>
  <c r="AQ50" i="5" s="1"/>
  <c r="AC3" i="5"/>
  <c r="Y4" i="5"/>
  <c r="Y6" i="5"/>
  <c r="AQ6" i="5" s="1"/>
  <c r="Y9" i="5"/>
  <c r="Z8" i="5"/>
  <c r="AA8" i="5" s="1"/>
  <c r="AO8" i="5" s="1"/>
  <c r="Y8" i="5"/>
  <c r="AQ8" i="5" s="1"/>
  <c r="Y23" i="5"/>
  <c r="AQ23" i="5" s="1"/>
  <c r="Y24" i="5"/>
  <c r="Y26" i="5"/>
  <c r="Z28" i="5"/>
  <c r="AA28" i="5" s="1"/>
  <c r="AO28" i="5" s="1"/>
  <c r="Y28" i="5"/>
  <c r="AQ28" i="5" s="1"/>
  <c r="Y41" i="5"/>
  <c r="AQ41" i="5" s="1"/>
  <c r="Y43" i="5"/>
  <c r="AQ43" i="5" s="1"/>
  <c r="Y44" i="5"/>
  <c r="AQ44" i="5" s="1"/>
  <c r="Z46" i="5"/>
  <c r="AA46" i="5" s="1"/>
  <c r="AO46" i="5" s="1"/>
  <c r="Y46" i="5"/>
  <c r="AQ46" i="5" s="1"/>
  <c r="Y21" i="5"/>
  <c r="AQ21" i="5" s="1"/>
  <c r="Z25" i="5"/>
  <c r="AA25" i="5" s="1"/>
  <c r="AO25" i="5" s="1"/>
  <c r="Y25" i="5"/>
  <c r="AQ25" i="5" s="1"/>
  <c r="Z51" i="5"/>
  <c r="Y7" i="5"/>
  <c r="Y11" i="5"/>
  <c r="AQ11" i="5" s="1"/>
  <c r="Z15" i="5"/>
  <c r="AA15" i="5" s="1"/>
  <c r="AO15" i="5" s="1"/>
  <c r="Y15" i="5"/>
  <c r="AQ15" i="5" s="1"/>
  <c r="Y27" i="5"/>
  <c r="Y30" i="5"/>
  <c r="AQ30" i="5" s="1"/>
  <c r="Z32" i="5"/>
  <c r="AA32" i="5" s="1"/>
  <c r="AO32" i="5" s="1"/>
  <c r="Y32" i="5"/>
  <c r="AQ32" i="5" s="1"/>
  <c r="Y45" i="5"/>
  <c r="Z20" i="5"/>
  <c r="AA20" i="5" s="1"/>
  <c r="AO20" i="5" s="1"/>
  <c r="Y20" i="5"/>
  <c r="AQ20" i="5" s="1"/>
  <c r="Y36" i="5"/>
  <c r="Z38" i="5"/>
  <c r="AA38" i="5" s="1"/>
  <c r="AO38" i="5" s="1"/>
  <c r="Y38" i="5"/>
  <c r="AQ38" i="5" s="1"/>
  <c r="Z42" i="5"/>
  <c r="AA42" i="5" s="1"/>
  <c r="AO42" i="5" s="1"/>
  <c r="Y42" i="5"/>
  <c r="AQ42" i="5" s="1"/>
  <c r="Y49" i="5"/>
  <c r="AQ49" i="5" s="1"/>
  <c r="Z49" i="5"/>
  <c r="AA49" i="5" s="1"/>
  <c r="AO49" i="5" s="1"/>
  <c r="Y61" i="5"/>
  <c r="AQ61" i="5" s="1"/>
  <c r="Z64" i="5"/>
  <c r="AA64" i="5" s="1"/>
  <c r="Y69" i="5"/>
  <c r="Z70" i="5"/>
  <c r="AA70" i="5" s="1"/>
  <c r="AO70" i="5" s="1"/>
  <c r="Z127" i="5"/>
  <c r="AA127" i="5" s="1"/>
  <c r="AO127" i="5" s="1"/>
  <c r="Y127" i="5"/>
  <c r="AQ127" i="5" s="1"/>
  <c r="Z84" i="5"/>
  <c r="AA84" i="5" s="1"/>
  <c r="Y84" i="5"/>
  <c r="Z88" i="5"/>
  <c r="AA88" i="5" s="1"/>
  <c r="AO88" i="5" s="1"/>
  <c r="Y88" i="5"/>
  <c r="AQ88" i="5" s="1"/>
  <c r="Z98" i="5"/>
  <c r="AA98" i="5" s="1"/>
  <c r="AO98" i="5" s="1"/>
  <c r="Y98" i="5"/>
  <c r="AQ98" i="5" s="1"/>
  <c r="Z111" i="5"/>
  <c r="AA111" i="5" s="1"/>
  <c r="Y111" i="5"/>
  <c r="Y79" i="5"/>
  <c r="Y80" i="5"/>
  <c r="AQ80" i="5" s="1"/>
  <c r="Y85" i="5"/>
  <c r="AQ85" i="5" s="1"/>
  <c r="Y86" i="5"/>
  <c r="AQ86" i="5" s="1"/>
  <c r="Y96" i="5"/>
  <c r="Y102" i="5"/>
  <c r="AC102" i="5"/>
  <c r="Z104" i="5"/>
  <c r="AA104" i="5" s="1"/>
  <c r="AO104" i="5" s="1"/>
  <c r="Y104" i="5"/>
  <c r="AQ104" i="5" s="1"/>
  <c r="Y115" i="5"/>
  <c r="Y119" i="5"/>
  <c r="AQ119" i="5" s="1"/>
  <c r="Y123" i="5"/>
  <c r="Y135" i="5"/>
  <c r="AQ135" i="5" s="1"/>
  <c r="AC113" i="5"/>
  <c r="AC117" i="5"/>
  <c r="AC121" i="5"/>
  <c r="AC128" i="5"/>
  <c r="AC137" i="5"/>
  <c r="AT52" i="5" l="1"/>
  <c r="AQ137" i="5"/>
  <c r="AT137" i="5" s="1"/>
  <c r="Y138" i="5"/>
  <c r="AQ134" i="5"/>
  <c r="AO134" i="5"/>
  <c r="AO138" i="5" s="1"/>
  <c r="AA138" i="5"/>
  <c r="AT35" i="6"/>
  <c r="AT85" i="6"/>
  <c r="AT37" i="6"/>
  <c r="AT93" i="6"/>
  <c r="AT40" i="6"/>
  <c r="AT83" i="6"/>
  <c r="AT34" i="6"/>
  <c r="AT86" i="6"/>
  <c r="AT96" i="6"/>
  <c r="AT7" i="6"/>
  <c r="AT87" i="6"/>
  <c r="AT60" i="6"/>
  <c r="AT19" i="6"/>
  <c r="AT27" i="6"/>
  <c r="AT32" i="6"/>
  <c r="AT44" i="6"/>
  <c r="AT20" i="6"/>
  <c r="AT58" i="6"/>
  <c r="AT36" i="6"/>
  <c r="AT53" i="6"/>
  <c r="AT15" i="6"/>
  <c r="AT23" i="6"/>
  <c r="AT76" i="6"/>
  <c r="AT3" i="6"/>
  <c r="AT9" i="6"/>
  <c r="AT21" i="6"/>
  <c r="AT43" i="6"/>
  <c r="AT81" i="6"/>
  <c r="AT94" i="6"/>
  <c r="AT67" i="6"/>
  <c r="AT42" i="6"/>
  <c r="AT48" i="6"/>
  <c r="AT71" i="6"/>
  <c r="AT22" i="6"/>
  <c r="AT69" i="6"/>
  <c r="AT14" i="6"/>
  <c r="AT66" i="6"/>
  <c r="AT91" i="6"/>
  <c r="AT55" i="6"/>
  <c r="AT90" i="6"/>
  <c r="AT61" i="6"/>
  <c r="AT59" i="6"/>
  <c r="AT65" i="6"/>
  <c r="AT26" i="6"/>
  <c r="AT49" i="6"/>
  <c r="AT92" i="6"/>
  <c r="AT64" i="6"/>
  <c r="AT95" i="6"/>
  <c r="AT52" i="6"/>
  <c r="AT75" i="6"/>
  <c r="AT39" i="6"/>
  <c r="AT77" i="6"/>
  <c r="AT17" i="6"/>
  <c r="AT57" i="6"/>
  <c r="AT63" i="6"/>
  <c r="AT30" i="6"/>
  <c r="AT56" i="6"/>
  <c r="AT78" i="6"/>
  <c r="AT16" i="6"/>
  <c r="AT51" i="6"/>
  <c r="AT54" i="6"/>
  <c r="AT80" i="6"/>
  <c r="AT72" i="6"/>
  <c r="AT11" i="6"/>
  <c r="AT28" i="6"/>
  <c r="AT2" i="6"/>
  <c r="AQ10" i="6"/>
  <c r="AQ4" i="6"/>
  <c r="AT25" i="6"/>
  <c r="AT29" i="6"/>
  <c r="AT13" i="6"/>
  <c r="AT31" i="6"/>
  <c r="AQ18" i="6"/>
  <c r="AT12" i="6"/>
  <c r="AT5" i="6"/>
  <c r="AT33" i="6"/>
  <c r="AT8" i="6"/>
  <c r="AT79" i="6"/>
  <c r="AT24" i="6"/>
  <c r="AQ123" i="5"/>
  <c r="AT123" i="5" s="1"/>
  <c r="Y125" i="5"/>
  <c r="AQ111" i="5"/>
  <c r="AO111" i="5"/>
  <c r="AO125" i="5" s="1"/>
  <c r="AA125" i="5"/>
  <c r="AQ115" i="5"/>
  <c r="AT115" i="5" s="1"/>
  <c r="AQ102" i="5"/>
  <c r="AT102" i="5" s="1"/>
  <c r="AO106" i="5"/>
  <c r="AQ101" i="5"/>
  <c r="Y106" i="5"/>
  <c r="AO101" i="5"/>
  <c r="AA106" i="5"/>
  <c r="AQ96" i="5"/>
  <c r="AQ99" i="5" s="1"/>
  <c r="Y99" i="5"/>
  <c r="AQ79" i="5"/>
  <c r="Y82" i="5"/>
  <c r="AA90" i="5"/>
  <c r="AO84" i="5"/>
  <c r="AO90" i="5" s="1"/>
  <c r="AO79" i="5"/>
  <c r="AO82" i="5" s="1"/>
  <c r="AA82" i="5"/>
  <c r="AA99" i="5"/>
  <c r="AO96" i="5"/>
  <c r="AO99" i="5" s="1"/>
  <c r="AQ82" i="5"/>
  <c r="Y90" i="5"/>
  <c r="AQ84" i="5"/>
  <c r="AQ90" i="5" s="1"/>
  <c r="AT112" i="5"/>
  <c r="AT136" i="5"/>
  <c r="AT120" i="5"/>
  <c r="AT105" i="5"/>
  <c r="AT57" i="5"/>
  <c r="AT128" i="5"/>
  <c r="AQ69" i="5"/>
  <c r="AQ74" i="5" s="1"/>
  <c r="Y74" i="5"/>
  <c r="AQ64" i="5"/>
  <c r="AQ67" i="5" s="1"/>
  <c r="Y67" i="5"/>
  <c r="AA62" i="5"/>
  <c r="AO60" i="5"/>
  <c r="AO62" i="5" s="1"/>
  <c r="AT122" i="5"/>
  <c r="AQ60" i="5"/>
  <c r="AQ62" i="5" s="1"/>
  <c r="Y62" i="5"/>
  <c r="AO69" i="5"/>
  <c r="AO74" i="5" s="1"/>
  <c r="AA74" i="5"/>
  <c r="AA67" i="5"/>
  <c r="AO64" i="5"/>
  <c r="AO67" i="5" s="1"/>
  <c r="AT121" i="5"/>
  <c r="AT71" i="5"/>
  <c r="AT85" i="5"/>
  <c r="AT116" i="5"/>
  <c r="AT11" i="5"/>
  <c r="AT86" i="5"/>
  <c r="AT113" i="5"/>
  <c r="AO40" i="5"/>
  <c r="AT40" i="5" s="1"/>
  <c r="AQ36" i="5"/>
  <c r="Y47" i="5"/>
  <c r="AQ45" i="5"/>
  <c r="AT45" i="5" s="1"/>
  <c r="AQ39" i="5"/>
  <c r="AT39" i="5" s="1"/>
  <c r="AA47" i="5"/>
  <c r="AO36" i="5"/>
  <c r="AT97" i="5"/>
  <c r="AT65" i="5"/>
  <c r="AT80" i="5"/>
  <c r="AT140" i="5"/>
  <c r="AT114" i="5"/>
  <c r="AT118" i="5"/>
  <c r="AT119" i="5"/>
  <c r="AQ27" i="5"/>
  <c r="AT27" i="5" s="1"/>
  <c r="AO19" i="5"/>
  <c r="AO34" i="5" s="1"/>
  <c r="AA34" i="5"/>
  <c r="AQ26" i="5"/>
  <c r="AT26" i="5" s="1"/>
  <c r="AO16" i="5"/>
  <c r="AT16" i="5" s="1"/>
  <c r="AQ14" i="5"/>
  <c r="AQ17" i="5" s="1"/>
  <c r="Y17" i="5"/>
  <c r="AQ19" i="5"/>
  <c r="Y34" i="5"/>
  <c r="AA17" i="5"/>
  <c r="AQ24" i="5"/>
  <c r="AT24" i="5" s="1"/>
  <c r="AT103" i="5"/>
  <c r="AQ22" i="5"/>
  <c r="AT22" i="5" s="1"/>
  <c r="AQ7" i="5"/>
  <c r="AT7" i="5" s="1"/>
  <c r="AQ4" i="5"/>
  <c r="AT66" i="5"/>
  <c r="AO2" i="5"/>
  <c r="AA12" i="5"/>
  <c r="AQ3" i="5"/>
  <c r="AT3" i="5" s="1"/>
  <c r="AQ2" i="5"/>
  <c r="Y12" i="5"/>
  <c r="AQ9" i="5"/>
  <c r="AT9" i="5" s="1"/>
  <c r="AT73" i="5"/>
  <c r="AT117" i="5"/>
  <c r="AO10" i="5"/>
  <c r="AT10" i="5" s="1"/>
  <c r="AT50" i="5"/>
  <c r="AT104" i="5"/>
  <c r="AT61" i="5"/>
  <c r="AT41" i="5"/>
  <c r="AT89" i="5"/>
  <c r="AT37" i="5"/>
  <c r="AT70" i="5"/>
  <c r="AT21" i="5"/>
  <c r="AT87" i="5"/>
  <c r="AT44" i="5"/>
  <c r="AT23" i="5"/>
  <c r="AT6" i="5"/>
  <c r="AT31" i="5"/>
  <c r="AT81" i="5"/>
  <c r="AQ51" i="5"/>
  <c r="AQ53" i="5" s="1"/>
  <c r="AT72" i="5"/>
  <c r="AT30" i="5"/>
  <c r="AT29" i="5"/>
  <c r="AT32" i="5"/>
  <c r="AT43" i="5"/>
  <c r="AT124" i="5"/>
  <c r="AT135" i="5"/>
  <c r="AT5" i="5"/>
  <c r="AT33" i="5"/>
  <c r="AT88" i="5"/>
  <c r="AT127" i="5"/>
  <c r="AT42" i="5"/>
  <c r="AT98" i="5"/>
  <c r="AT38" i="5"/>
  <c r="AT20" i="5"/>
  <c r="AT46" i="5"/>
  <c r="AT8" i="5"/>
  <c r="AT49" i="5"/>
  <c r="AT15" i="5"/>
  <c r="AT25" i="5"/>
  <c r="AT28" i="5"/>
  <c r="AA51" i="5"/>
  <c r="AO51" i="5" s="1"/>
  <c r="AO53" i="5" s="1"/>
  <c r="AQ138" i="5" l="1"/>
  <c r="AT134" i="5"/>
  <c r="AT138" i="5" s="1"/>
  <c r="AT101" i="5"/>
  <c r="AT106" i="5" s="1"/>
  <c r="AT111" i="5"/>
  <c r="AT79" i="5"/>
  <c r="AT10" i="6"/>
  <c r="AT4" i="6"/>
  <c r="AT18" i="6"/>
  <c r="AQ106" i="5"/>
  <c r="AQ125" i="5"/>
  <c r="AT84" i="5"/>
  <c r="AT90" i="5" s="1"/>
  <c r="AT125" i="5"/>
  <c r="AT96" i="5"/>
  <c r="AT99" i="5" s="1"/>
  <c r="AT82" i="5"/>
  <c r="AT64" i="5"/>
  <c r="AT67" i="5" s="1"/>
  <c r="AT60" i="5"/>
  <c r="AT62" i="5" s="1"/>
  <c r="AT69" i="5"/>
  <c r="AT74" i="5" s="1"/>
  <c r="AT14" i="5"/>
  <c r="AT17" i="5" s="1"/>
  <c r="AQ47" i="5"/>
  <c r="AT36" i="5"/>
  <c r="AT47" i="5" s="1"/>
  <c r="AO47" i="5"/>
  <c r="AO17" i="5"/>
  <c r="AQ34" i="5"/>
  <c r="AT2" i="5"/>
  <c r="AT19" i="5"/>
  <c r="AT34" i="5" s="1"/>
  <c r="AQ12" i="5"/>
  <c r="AT4" i="5"/>
  <c r="AO12" i="5"/>
  <c r="AT12" i="5" l="1"/>
  <c r="AT51" i="5"/>
  <c r="AT53" i="5" s="1"/>
</calcChain>
</file>

<file path=xl/sharedStrings.xml><?xml version="1.0" encoding="utf-8"?>
<sst xmlns="http://schemas.openxmlformats.org/spreadsheetml/2006/main" count="1106" uniqueCount="214">
  <si>
    <t>Bull Test ID</t>
  </si>
  <si>
    <t>Ranch</t>
  </si>
  <si>
    <t>Ranch ID</t>
  </si>
  <si>
    <t>Breed</t>
  </si>
  <si>
    <t>Birth     Date</t>
  </si>
  <si>
    <t>Lot</t>
  </si>
  <si>
    <t>Age</t>
  </si>
  <si>
    <t>Warm Up Wt</t>
  </si>
  <si>
    <t>On Feed Weight</t>
  </si>
  <si>
    <t>Mid Weight</t>
  </si>
  <si>
    <t>Weight Per Day</t>
  </si>
  <si>
    <t>Mid-Wt Gain</t>
  </si>
  <si>
    <t>Final Weight</t>
  </si>
  <si>
    <t>Final Hip Ht.</t>
  </si>
  <si>
    <t>Final Gain</t>
  </si>
  <si>
    <t>Final ADG</t>
  </si>
  <si>
    <t>End Date</t>
  </si>
  <si>
    <t>IM Fat%</t>
  </si>
  <si>
    <t>Fat Thick.</t>
  </si>
  <si>
    <t>REA/CWT Live</t>
  </si>
  <si>
    <t>Tag Color</t>
  </si>
  <si>
    <t>Mid ADG</t>
  </si>
  <si>
    <t>Pelvic Height</t>
  </si>
  <si>
    <t>Pelvic Width</t>
  </si>
  <si>
    <t>Pelvic Area</t>
  </si>
  <si>
    <t>Frame Score</t>
  </si>
  <si>
    <t>Warm Up Wt Gain</t>
  </si>
  <si>
    <t>On Feed Wt I</t>
  </si>
  <si>
    <t>On Feed Wt II</t>
  </si>
  <si>
    <t>Final Wt  I</t>
  </si>
  <si>
    <t>Final Wt II</t>
  </si>
  <si>
    <t>Start Date</t>
  </si>
  <si>
    <t>Arrival Date</t>
  </si>
  <si>
    <t>Sheath Score</t>
  </si>
  <si>
    <t>ADG Ratio</t>
  </si>
  <si>
    <t>REA/Cwt Ratio</t>
  </si>
  <si>
    <t>WPDA Ratio</t>
  </si>
  <si>
    <t>Marbling Ratio</t>
  </si>
  <si>
    <t>Age Group</t>
  </si>
  <si>
    <t>RGVBIA Ratio</t>
  </si>
  <si>
    <t>RGVBIA Award</t>
  </si>
  <si>
    <t>Final S.C.</t>
  </si>
  <si>
    <t>S.C. Ratio</t>
  </si>
  <si>
    <t>Final BCS</t>
  </si>
  <si>
    <t>US Wt</t>
  </si>
  <si>
    <t>REA</t>
  </si>
  <si>
    <t>Pink</t>
  </si>
  <si>
    <t>Rump Fat</t>
  </si>
  <si>
    <t>La Morra Ranch</t>
  </si>
  <si>
    <t>Pena Farms Beefmasters</t>
  </si>
  <si>
    <t>Beefmaster</t>
  </si>
  <si>
    <t>Santa Gertrudis</t>
  </si>
  <si>
    <t>Yellow</t>
  </si>
  <si>
    <t>Orange</t>
  </si>
  <si>
    <t>Brahman</t>
  </si>
  <si>
    <t>132/16</t>
  </si>
  <si>
    <t>123/16</t>
  </si>
  <si>
    <t>116/16</t>
  </si>
  <si>
    <t>113/16</t>
  </si>
  <si>
    <t>Simbrah</t>
  </si>
  <si>
    <t>Olivarez Ranches</t>
  </si>
  <si>
    <t>Santa Ana Ranch</t>
  </si>
  <si>
    <t>Lazy JV Ranch</t>
  </si>
  <si>
    <t>Maroon</t>
  </si>
  <si>
    <t>Cappadona</t>
  </si>
  <si>
    <t>CR Ranch</t>
  </si>
  <si>
    <t>La Campana Ranch</t>
  </si>
  <si>
    <t>Los Ebanos Ranch</t>
  </si>
  <si>
    <t>6/164</t>
  </si>
  <si>
    <t>6/161</t>
  </si>
  <si>
    <t>6/165</t>
  </si>
  <si>
    <t>7/173</t>
  </si>
  <si>
    <t>6/162</t>
  </si>
  <si>
    <t>6/169</t>
  </si>
  <si>
    <t>6/166</t>
  </si>
  <si>
    <t>7/174</t>
  </si>
  <si>
    <t>628</t>
  </si>
  <si>
    <t>713</t>
  </si>
  <si>
    <t>718</t>
  </si>
  <si>
    <t>712</t>
  </si>
  <si>
    <t>703</t>
  </si>
  <si>
    <t>674</t>
  </si>
  <si>
    <t>720</t>
  </si>
  <si>
    <t>726</t>
  </si>
  <si>
    <t>A. Cantu Farms</t>
  </si>
  <si>
    <t>Herfeford</t>
  </si>
  <si>
    <t>Alejandro Salinas</t>
  </si>
  <si>
    <t>7/01</t>
  </si>
  <si>
    <t>Encendido Ranch</t>
  </si>
  <si>
    <t>5D213</t>
  </si>
  <si>
    <t>5D241</t>
  </si>
  <si>
    <t>5D197</t>
  </si>
  <si>
    <t>5E36</t>
  </si>
  <si>
    <t>5E18</t>
  </si>
  <si>
    <t>5D185</t>
  </si>
  <si>
    <t>221/6</t>
  </si>
  <si>
    <t>215/6</t>
  </si>
  <si>
    <t>5D208</t>
  </si>
  <si>
    <t>5D195</t>
  </si>
  <si>
    <t>5E55</t>
  </si>
  <si>
    <t>210/6</t>
  </si>
  <si>
    <t>5D206</t>
  </si>
  <si>
    <t>5E137</t>
  </si>
  <si>
    <t>La Muneca Cattle Co.</t>
  </si>
  <si>
    <t>7/680</t>
  </si>
  <si>
    <t>7/682</t>
  </si>
  <si>
    <t>7/683</t>
  </si>
  <si>
    <t>7/681</t>
  </si>
  <si>
    <t>Angus</t>
  </si>
  <si>
    <t>CR45</t>
  </si>
  <si>
    <t>Schuster Farms</t>
  </si>
  <si>
    <t>2-7</t>
  </si>
  <si>
    <t>4-7</t>
  </si>
  <si>
    <t>3-7</t>
  </si>
  <si>
    <t>4-F Cattle Co.</t>
  </si>
  <si>
    <t>7/6</t>
  </si>
  <si>
    <t>5E17</t>
  </si>
  <si>
    <t>La Muneca-Flores Cattle Co.</t>
  </si>
  <si>
    <t>5E12</t>
  </si>
  <si>
    <t>5E13</t>
  </si>
  <si>
    <t>5D167</t>
  </si>
  <si>
    <t>225/6</t>
  </si>
  <si>
    <t>5D163</t>
  </si>
  <si>
    <t>179/6</t>
  </si>
  <si>
    <t>5D211</t>
  </si>
  <si>
    <t>171/6</t>
  </si>
  <si>
    <t>5D201</t>
  </si>
  <si>
    <t>7028</t>
  </si>
  <si>
    <t>7040</t>
  </si>
  <si>
    <t>7000</t>
  </si>
  <si>
    <t>7023</t>
  </si>
  <si>
    <t>Baring Cattle Co.</t>
  </si>
  <si>
    <t>101D</t>
  </si>
  <si>
    <t>738</t>
  </si>
  <si>
    <t>737</t>
  </si>
  <si>
    <t>705</t>
  </si>
  <si>
    <t>710</t>
  </si>
  <si>
    <t>719</t>
  </si>
  <si>
    <t>La Negra Cattle Co.</t>
  </si>
  <si>
    <t>Red Brahman</t>
  </si>
  <si>
    <t>106/6</t>
  </si>
  <si>
    <t>176/6</t>
  </si>
  <si>
    <t>Reavis Farms, Inc.</t>
  </si>
  <si>
    <t>620D</t>
  </si>
  <si>
    <t>633D</t>
  </si>
  <si>
    <t>186D</t>
  </si>
  <si>
    <t>680E</t>
  </si>
  <si>
    <t>671E</t>
  </si>
  <si>
    <t>Bar T Ranch</t>
  </si>
  <si>
    <t>Charolais</t>
  </si>
  <si>
    <t>SD19</t>
  </si>
  <si>
    <t>SD21</t>
  </si>
  <si>
    <t>England Cattle Co.</t>
  </si>
  <si>
    <t>722</t>
  </si>
  <si>
    <t>Simmental</t>
  </si>
  <si>
    <t>Nieschwietz 7N Ranch</t>
  </si>
  <si>
    <t>76E</t>
  </si>
  <si>
    <t>40E</t>
  </si>
  <si>
    <t>147D</t>
  </si>
  <si>
    <t>78E</t>
  </si>
  <si>
    <t>118D</t>
  </si>
  <si>
    <t>49ED</t>
  </si>
  <si>
    <t>73D</t>
  </si>
  <si>
    <t>3/4Simmental1/4Brahman</t>
  </si>
  <si>
    <t>Mendietta Ranch Beefmaster Ranches</t>
  </si>
  <si>
    <t>51616</t>
  </si>
  <si>
    <t>112616</t>
  </si>
  <si>
    <t>6/170</t>
  </si>
  <si>
    <t>NA</t>
  </si>
  <si>
    <t>224/6</t>
  </si>
  <si>
    <t>91</t>
  </si>
  <si>
    <t>Senior</t>
  </si>
  <si>
    <t>Intermediate</t>
  </si>
  <si>
    <t>Calf</t>
  </si>
  <si>
    <t>Junior</t>
  </si>
  <si>
    <t>3/8Simmental5/8Brahman</t>
  </si>
  <si>
    <t>D30</t>
  </si>
  <si>
    <t>D38</t>
  </si>
  <si>
    <t>E08</t>
  </si>
  <si>
    <t>Died 12/20/17</t>
  </si>
  <si>
    <t>Home 01/09/18</t>
  </si>
  <si>
    <t>CALF DIV. AVERAGES</t>
  </si>
  <si>
    <t>BEEFMASTER AVERAGES</t>
  </si>
  <si>
    <t>BRAHMAN AVERAGES</t>
  </si>
  <si>
    <t>SANTA GERTRUDIS AVERAGES</t>
  </si>
  <si>
    <t>SIMBRAH AVERAGES</t>
  </si>
  <si>
    <t>INTERMEDIATE DIV. AVERAGES</t>
  </si>
  <si>
    <t>RED BRAHMAN AVERAGES</t>
  </si>
  <si>
    <t>JUNIOR DIV. AVERAGES</t>
  </si>
  <si>
    <t>CHAROLAIS AVERAGES</t>
  </si>
  <si>
    <t>SENIOR DIV AVERAGE</t>
  </si>
  <si>
    <t>.</t>
  </si>
  <si>
    <t>Not eligible for sale</t>
  </si>
  <si>
    <t>BSE</t>
  </si>
  <si>
    <t>Y</t>
  </si>
  <si>
    <t>N</t>
  </si>
  <si>
    <t>Beefmaster Calf Champion</t>
  </si>
  <si>
    <t>Beefmaster Calf Reserve Champion</t>
  </si>
  <si>
    <t>Brahman Calf Champion</t>
  </si>
  <si>
    <t>Santa Gertrudis Calf Campion</t>
  </si>
  <si>
    <t>Santa Gertrudis Calf Reserve Campion</t>
  </si>
  <si>
    <t>Santa Gertrudis Calf First Runner Up</t>
  </si>
  <si>
    <t>Simbrah Calf Champion</t>
  </si>
  <si>
    <t>Simbrah Calf Reserve Champion</t>
  </si>
  <si>
    <t>Santa Gertrudis Intermediate Champion</t>
  </si>
  <si>
    <t>Simbrah Intermediate Champion</t>
  </si>
  <si>
    <t>Beefmaster Junior Champion</t>
  </si>
  <si>
    <t>Brahman Junior Camapion</t>
  </si>
  <si>
    <t>Brahman Junior Reserve Champion</t>
  </si>
  <si>
    <t>Charolais Junior Champion</t>
  </si>
  <si>
    <t>Beefmaster Senior Champion</t>
  </si>
  <si>
    <t>Santa Gertrudis Junior Champion</t>
  </si>
  <si>
    <t>Simbrah Junior Champion</t>
  </si>
  <si>
    <t>Simbrah Junior Reserve Champion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</si>
</sst>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0.0"/>
  </numFmts>
  <fonts count="6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Fill="1" applyAlignment="1">
      <alignment horizontal="center" vertical="justify" shrinkToFit="1"/>
    </xf>
    <xf numFmtId="49" fontId="1" fillId="0" borderId="0" xfId="0" applyNumberFormat="1" applyFont="1" applyFill="1" applyAlignment="1">
      <alignment horizontal="center" vertical="justify" shrinkToFit="1"/>
    </xf>
    <xf numFmtId="14" fontId="1" fillId="0" borderId="0" xfId="0" applyNumberFormat="1" applyFont="1" applyFill="1" applyAlignment="1">
      <alignment horizontal="center" vertical="justify" shrinkToFit="1"/>
    </xf>
    <xf numFmtId="1" fontId="1" fillId="0" borderId="0" xfId="0" applyNumberFormat="1" applyFont="1" applyFill="1" applyAlignment="1" applyProtection="1">
      <alignment horizontal="center" vertical="justify" shrinkToFit="1"/>
      <protection locked="0"/>
    </xf>
    <xf numFmtId="1" fontId="1" fillId="0" borderId="0" xfId="0" applyNumberFormat="1" applyFont="1" applyFill="1" applyAlignment="1">
      <alignment horizontal="center" vertical="justify" shrinkToFit="1"/>
    </xf>
    <xf numFmtId="2" fontId="1" fillId="0" borderId="0" xfId="0" applyNumberFormat="1" applyFont="1" applyFill="1" applyAlignment="1" applyProtection="1">
      <alignment horizontal="center" vertical="justify" shrinkToFit="1"/>
      <protection locked="0"/>
    </xf>
    <xf numFmtId="164" fontId="1" fillId="0" borderId="0" xfId="0" applyNumberFormat="1" applyFont="1" applyFill="1" applyAlignment="1" applyProtection="1">
      <alignment horizontal="center" vertical="justify" shrinkToFit="1"/>
      <protection locked="0"/>
    </xf>
    <xf numFmtId="2" fontId="1" fillId="0" borderId="0" xfId="0" applyNumberFormat="1" applyFont="1" applyFill="1" applyAlignment="1">
      <alignment horizontal="center" vertical="justify" shrinkToFit="1"/>
    </xf>
    <xf numFmtId="164" fontId="1" fillId="0" borderId="0" xfId="0" applyNumberFormat="1" applyFont="1" applyFill="1" applyAlignment="1">
      <alignment horizontal="center" vertical="justify" shrinkToFit="1"/>
    </xf>
    <xf numFmtId="7" fontId="1" fillId="0" borderId="0" xfId="0" applyNumberFormat="1" applyFont="1" applyFill="1" applyAlignment="1">
      <alignment horizontal="center" vertical="justify" shrinkToFit="1"/>
    </xf>
    <xf numFmtId="0" fontId="2" fillId="0" borderId="0" xfId="0" applyFont="1" applyFill="1" applyAlignment="1">
      <alignment shrinkToFit="1"/>
    </xf>
    <xf numFmtId="49" fontId="2" fillId="0" borderId="0" xfId="0" applyNumberFormat="1" applyFont="1" applyFill="1" applyAlignment="1">
      <alignment horizontal="center" shrinkToFit="1"/>
    </xf>
    <xf numFmtId="14" fontId="2" fillId="0" borderId="0" xfId="0" applyNumberFormat="1" applyFont="1" applyFill="1" applyAlignment="1">
      <alignment horizontal="right" shrinkToFit="1"/>
    </xf>
    <xf numFmtId="14" fontId="3" fillId="0" borderId="0" xfId="0" applyNumberFormat="1" applyFont="1" applyFill="1" applyAlignment="1">
      <alignment shrinkToFit="1"/>
    </xf>
    <xf numFmtId="1" fontId="2" fillId="0" borderId="0" xfId="0" applyNumberFormat="1" applyFont="1" applyFill="1" applyAlignment="1" applyProtection="1">
      <alignment shrinkToFit="1"/>
      <protection locked="0"/>
    </xf>
    <xf numFmtId="1" fontId="2" fillId="0" borderId="0" xfId="0" applyNumberFormat="1" applyFont="1" applyFill="1" applyAlignment="1">
      <alignment shrinkToFit="1"/>
    </xf>
    <xf numFmtId="1" fontId="2" fillId="0" borderId="0" xfId="0" applyNumberFormat="1" applyFont="1" applyFill="1" applyAlignment="1" applyProtection="1">
      <alignment horizontal="right" shrinkToFit="1"/>
      <protection locked="0"/>
    </xf>
    <xf numFmtId="0" fontId="2" fillId="0" borderId="0" xfId="0" applyFont="1" applyAlignment="1">
      <alignment horizontal="center" shrinkToFit="1"/>
    </xf>
    <xf numFmtId="1" fontId="2" fillId="0" borderId="0" xfId="0" applyNumberFormat="1" applyFont="1" applyAlignment="1" applyProtection="1">
      <alignment shrinkToFit="1"/>
      <protection locked="0"/>
    </xf>
    <xf numFmtId="2" fontId="2" fillId="0" borderId="0" xfId="0" applyNumberFormat="1" applyFont="1" applyFill="1" applyAlignment="1" applyProtection="1">
      <alignment horizontal="right" shrinkToFit="1"/>
      <protection locked="0"/>
    </xf>
    <xf numFmtId="164" fontId="2" fillId="0" borderId="0" xfId="0" applyNumberFormat="1" applyFont="1" applyFill="1" applyAlignment="1" applyProtection="1">
      <alignment horizontal="right" shrinkToFit="1"/>
      <protection locked="0"/>
    </xf>
    <xf numFmtId="164" fontId="2" fillId="0" borderId="0" xfId="0" applyNumberFormat="1" applyFont="1" applyFill="1" applyAlignment="1" applyProtection="1">
      <alignment shrinkToFit="1"/>
      <protection locked="0"/>
    </xf>
    <xf numFmtId="2" fontId="2" fillId="0" borderId="0" xfId="0" applyNumberFormat="1" applyFont="1" applyAlignment="1">
      <alignment horizontal="center" shrinkToFit="1"/>
    </xf>
    <xf numFmtId="2" fontId="2" fillId="0" borderId="0" xfId="0" applyNumberFormat="1" applyFont="1" applyFill="1" applyAlignment="1" applyProtection="1">
      <alignment shrinkToFit="1"/>
      <protection locked="0"/>
    </xf>
    <xf numFmtId="164" fontId="2" fillId="0" borderId="0" xfId="0" applyNumberFormat="1" applyFont="1" applyFill="1" applyAlignment="1">
      <alignment shrinkToFit="1"/>
    </xf>
    <xf numFmtId="1" fontId="2" fillId="0" borderId="0" xfId="0" applyNumberFormat="1" applyFont="1" applyFill="1" applyAlignment="1">
      <alignment horizontal="right" shrinkToFit="1"/>
    </xf>
    <xf numFmtId="164" fontId="2" fillId="0" borderId="0" xfId="0" applyNumberFormat="1" applyFont="1" applyFill="1" applyAlignment="1">
      <alignment horizontal="right" shrinkToFit="1"/>
    </xf>
    <xf numFmtId="2" fontId="2" fillId="0" borderId="0" xfId="0" applyNumberFormat="1" applyFont="1" applyFill="1" applyAlignment="1">
      <alignment horizontal="right" shrinkToFit="1"/>
    </xf>
    <xf numFmtId="1" fontId="3" fillId="0" borderId="0" xfId="0" applyNumberFormat="1" applyFont="1" applyFill="1" applyAlignment="1">
      <alignment shrinkToFit="1"/>
    </xf>
    <xf numFmtId="7" fontId="3" fillId="0" borderId="0" xfId="0" applyNumberFormat="1" applyFont="1" applyFill="1" applyAlignment="1">
      <alignment shrinkToFit="1"/>
    </xf>
    <xf numFmtId="164" fontId="3" fillId="0" borderId="0" xfId="0" applyNumberFormat="1" applyFont="1" applyFill="1" applyAlignment="1">
      <alignment shrinkToFit="1"/>
    </xf>
    <xf numFmtId="0" fontId="3" fillId="0" borderId="0" xfId="0" applyFont="1" applyFill="1" applyAlignment="1">
      <alignment shrinkToFit="1"/>
    </xf>
    <xf numFmtId="0" fontId="3" fillId="0" borderId="0" xfId="0" applyFont="1" applyFill="1" applyAlignment="1">
      <alignment horizontal="center" shrinkToFit="1"/>
    </xf>
    <xf numFmtId="7" fontId="2" fillId="0" borderId="0" xfId="0" applyNumberFormat="1" applyFont="1" applyFill="1" applyAlignment="1">
      <alignment shrinkToFit="1"/>
    </xf>
    <xf numFmtId="0" fontId="1" fillId="0" borderId="0" xfId="0" applyFont="1" applyFill="1" applyAlignment="1">
      <alignment shrinkToFit="1"/>
    </xf>
    <xf numFmtId="14" fontId="3" fillId="0" borderId="0" xfId="0" applyNumberFormat="1" applyFont="1" applyFill="1" applyAlignment="1">
      <alignment horizontal="right" shrinkToFit="1"/>
    </xf>
    <xf numFmtId="1" fontId="3" fillId="0" borderId="0" xfId="0" applyNumberFormat="1" applyFont="1" applyFill="1" applyAlignment="1" applyProtection="1">
      <alignment shrinkToFit="1"/>
      <protection locked="0"/>
    </xf>
    <xf numFmtId="2" fontId="1" fillId="0" borderId="0" xfId="0" applyNumberFormat="1" applyFont="1" applyFill="1" applyAlignment="1">
      <alignment shrinkToFit="1"/>
    </xf>
    <xf numFmtId="2" fontId="1" fillId="0" borderId="0" xfId="0" applyNumberFormat="1" applyFont="1" applyFill="1" applyAlignment="1">
      <alignment horizontal="center" shrinkToFit="1"/>
    </xf>
    <xf numFmtId="2" fontId="1" fillId="0" borderId="0" xfId="0" applyNumberFormat="1" applyFont="1" applyFill="1" applyAlignment="1">
      <alignment horizontal="right" shrinkToFit="1"/>
    </xf>
    <xf numFmtId="2" fontId="4" fillId="0" borderId="0" xfId="0" applyNumberFormat="1" applyFont="1" applyFill="1" applyAlignment="1">
      <alignment shrinkToFit="1"/>
    </xf>
    <xf numFmtId="2" fontId="1" fillId="0" borderId="0" xfId="0" applyNumberFormat="1" applyFont="1" applyFill="1" applyAlignment="1" applyProtection="1">
      <alignment shrinkToFit="1"/>
      <protection locked="0"/>
    </xf>
    <xf numFmtId="0" fontId="2" fillId="2" borderId="0" xfId="0" applyFont="1" applyFill="1" applyAlignment="1">
      <alignment shrinkToFit="1"/>
    </xf>
    <xf numFmtId="2" fontId="2" fillId="0" borderId="0" xfId="0" applyNumberFormat="1" applyFont="1" applyFill="1" applyAlignment="1">
      <alignment shrinkToFit="1"/>
    </xf>
    <xf numFmtId="0" fontId="2" fillId="0" borderId="0" xfId="0" applyFont="1" applyFill="1" applyBorder="1" applyAlignment="1">
      <alignment shrinkToFit="1"/>
    </xf>
    <xf numFmtId="0" fontId="3" fillId="0" borderId="1" xfId="0" applyFont="1" applyFill="1" applyBorder="1" applyAlignment="1">
      <alignment shrinkToFit="1"/>
    </xf>
    <xf numFmtId="0" fontId="2" fillId="0" borderId="2" xfId="0" applyFont="1" applyFill="1" applyBorder="1" applyAlignment="1">
      <alignment shrinkToFit="1"/>
    </xf>
    <xf numFmtId="2" fontId="2" fillId="0" borderId="0" xfId="0" applyNumberFormat="1" applyFont="1" applyAlignment="1" applyProtection="1">
      <alignment shrinkToFit="1"/>
      <protection locked="0"/>
    </xf>
    <xf numFmtId="0" fontId="4" fillId="0" borderId="0" xfId="0" applyFont="1" applyFill="1" applyAlignment="1">
      <alignment shrinkToFit="1"/>
    </xf>
    <xf numFmtId="49" fontId="1" fillId="0" borderId="0" xfId="0" applyNumberFormat="1" applyFont="1" applyFill="1" applyAlignment="1">
      <alignment horizontal="center" shrinkToFit="1"/>
    </xf>
    <xf numFmtId="14" fontId="1" fillId="0" borderId="0" xfId="0" applyNumberFormat="1" applyFont="1" applyFill="1" applyAlignment="1">
      <alignment horizontal="right" shrinkToFit="1"/>
    </xf>
    <xf numFmtId="14" fontId="4" fillId="0" borderId="0" xfId="0" applyNumberFormat="1" applyFont="1" applyFill="1" applyAlignment="1">
      <alignment shrinkToFit="1"/>
    </xf>
    <xf numFmtId="1" fontId="1" fillId="0" borderId="0" xfId="0" applyNumberFormat="1" applyFont="1" applyFill="1" applyAlignment="1" applyProtection="1">
      <alignment shrinkToFit="1"/>
      <protection locked="0"/>
    </xf>
    <xf numFmtId="1" fontId="1" fillId="0" borderId="0" xfId="0" applyNumberFormat="1" applyFont="1" applyFill="1" applyAlignment="1">
      <alignment shrinkToFit="1"/>
    </xf>
    <xf numFmtId="164" fontId="1" fillId="0" borderId="0" xfId="0" applyNumberFormat="1" applyFont="1" applyFill="1" applyAlignment="1">
      <alignment shrinkToFit="1"/>
    </xf>
    <xf numFmtId="7" fontId="1" fillId="0" borderId="0" xfId="0" applyNumberFormat="1" applyFont="1" applyFill="1" applyAlignment="1">
      <alignment shrinkToFit="1"/>
    </xf>
    <xf numFmtId="2" fontId="1" fillId="0" borderId="0" xfId="0" applyNumberFormat="1" applyFont="1" applyAlignment="1">
      <alignment shrinkToFit="1"/>
    </xf>
    <xf numFmtId="2" fontId="2" fillId="0" borderId="0" xfId="0" applyNumberFormat="1" applyFont="1" applyAlignment="1">
      <alignment shrinkToFit="1"/>
    </xf>
    <xf numFmtId="1" fontId="1" fillId="0" borderId="0" xfId="0" applyNumberFormat="1" applyFont="1" applyFill="1" applyAlignment="1" applyProtection="1">
      <alignment horizontal="right" shrinkToFit="1"/>
      <protection locked="0"/>
    </xf>
    <xf numFmtId="2" fontId="1" fillId="0" borderId="0" xfId="0" applyNumberFormat="1" applyFont="1" applyAlignment="1" applyProtection="1">
      <alignment shrinkToFit="1"/>
      <protection locked="0"/>
    </xf>
    <xf numFmtId="164" fontId="1" fillId="0" borderId="0" xfId="0" applyNumberFormat="1" applyFont="1" applyFill="1" applyAlignment="1" applyProtection="1">
      <alignment shrinkToFit="1"/>
      <protection locked="0"/>
    </xf>
    <xf numFmtId="14" fontId="2" fillId="0" borderId="0" xfId="0" applyNumberFormat="1" applyFont="1" applyFill="1" applyAlignment="1">
      <alignment shrinkToFit="1"/>
    </xf>
    <xf numFmtId="2" fontId="2" fillId="0" borderId="0" xfId="0" applyNumberFormat="1" applyFont="1" applyFill="1" applyAlignment="1">
      <alignment horizontal="center" shrinkToFit="1"/>
    </xf>
    <xf numFmtId="2" fontId="3" fillId="0" borderId="0" xfId="0" applyNumberFormat="1" applyFont="1" applyFill="1" applyAlignment="1">
      <alignment shrinkToFit="1"/>
    </xf>
    <xf numFmtId="2" fontId="1" fillId="0" borderId="0" xfId="0" applyNumberFormat="1" applyFont="1" applyFill="1" applyAlignment="1" applyProtection="1">
      <alignment horizontal="right" shrinkToFit="1"/>
      <protection locked="0"/>
    </xf>
    <xf numFmtId="2" fontId="1" fillId="0" borderId="0" xfId="0" applyNumberFormat="1" applyFont="1" applyAlignment="1">
      <alignment horizontal="center" shrinkToFit="1"/>
    </xf>
    <xf numFmtId="0" fontId="1" fillId="0" borderId="0" xfId="0" applyFont="1" applyAlignment="1">
      <alignment horizontal="center" shrinkToFit="1"/>
    </xf>
    <xf numFmtId="1" fontId="1" fillId="0" borderId="0" xfId="0" applyNumberFormat="1" applyFont="1" applyAlignment="1" applyProtection="1">
      <alignment shrinkToFit="1"/>
      <protection locked="0"/>
    </xf>
    <xf numFmtId="164" fontId="1" fillId="0" borderId="0" xfId="0" applyNumberFormat="1" applyFont="1" applyFill="1" applyAlignment="1" applyProtection="1">
      <alignment horizontal="right" shrinkToFit="1"/>
      <protection locked="0"/>
    </xf>
    <xf numFmtId="1" fontId="1" fillId="0" borderId="0" xfId="0" applyNumberFormat="1" applyFont="1" applyFill="1" applyAlignment="1">
      <alignment horizontal="right" shrinkToFit="1"/>
    </xf>
    <xf numFmtId="164" fontId="1" fillId="0" borderId="0" xfId="0" applyNumberFormat="1" applyFont="1" applyFill="1" applyAlignment="1">
      <alignment horizontal="right" shrinkToFit="1"/>
    </xf>
    <xf numFmtId="1" fontId="4" fillId="0" borderId="0" xfId="0" applyNumberFormat="1" applyFont="1" applyFill="1" applyAlignment="1">
      <alignment shrinkToFit="1"/>
    </xf>
    <xf numFmtId="7" fontId="4" fillId="0" borderId="0" xfId="0" applyNumberFormat="1" applyFont="1" applyFill="1" applyAlignment="1">
      <alignment shrinkToFit="1"/>
    </xf>
    <xf numFmtId="164" fontId="4" fillId="0" borderId="0" xfId="0" applyNumberFormat="1" applyFont="1" applyFill="1" applyAlignment="1">
      <alignment shrinkToFit="1"/>
    </xf>
    <xf numFmtId="0" fontId="1" fillId="0" borderId="0" xfId="0" applyFont="1" applyFill="1" applyBorder="1" applyAlignment="1">
      <alignment shrinkToFit="1"/>
    </xf>
    <xf numFmtId="2" fontId="2" fillId="0" borderId="0" xfId="0" applyNumberFormat="1" applyFont="1" applyFill="1" applyBorder="1" applyAlignment="1">
      <alignment shrinkToFit="1"/>
    </xf>
    <xf numFmtId="2" fontId="1" fillId="0" borderId="0" xfId="0" applyNumberFormat="1" applyFont="1" applyFill="1" applyBorder="1" applyAlignment="1">
      <alignment shrinkToFit="1"/>
    </xf>
    <xf numFmtId="0" fontId="4" fillId="0" borderId="0" xfId="0" applyFont="1" applyFill="1" applyAlignment="1">
      <alignment horizontal="center" shrinkToFit="1"/>
    </xf>
    <xf numFmtId="0" fontId="3" fillId="0" borderId="0" xfId="0" applyFont="1" applyFill="1" applyBorder="1" applyAlignment="1">
      <alignment shrinkToFit="1"/>
    </xf>
    <xf numFmtId="0" fontId="4" fillId="0" borderId="0" xfId="0" applyFont="1" applyFill="1" applyBorder="1" applyAlignment="1">
      <alignment shrinkToFit="1"/>
    </xf>
    <xf numFmtId="0" fontId="2" fillId="0" borderId="0" xfId="0" applyFont="1" applyFill="1" applyAlignment="1">
      <alignment horizontal="center" vertical="center" shrinkToFit="1"/>
    </xf>
    <xf numFmtId="1" fontId="2" fillId="0" borderId="0" xfId="0" applyNumberFormat="1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167"/>
  <sheetViews>
    <sheetView tabSelected="1" topLeftCell="AQ2" workbookViewId="0">
      <pane xSplit="9405" ySplit="870" topLeftCell="A95" activePane="bottomLeft"/>
      <selection activeCell="AU2" sqref="AU2"/>
      <selection pane="topRight" activeCell="Z1" sqref="Z1"/>
      <selection pane="bottomLeft" activeCell="AU112" sqref="AU112"/>
      <selection pane="bottomRight" activeCell="A9" sqref="A9"/>
    </sheetView>
  </sheetViews>
  <sheetFormatPr defaultRowHeight="15" x14ac:dyDescent="0.2"/>
  <cols>
    <col min="1" max="1" width="8.85546875" style="11" customWidth="1"/>
    <col min="2" max="2" width="7" style="11" customWidth="1"/>
    <col min="3" max="3" width="8.28515625" style="11" customWidth="1"/>
    <col min="4" max="4" width="26.5703125" style="11" customWidth="1"/>
    <col min="5" max="5" width="9.42578125" style="12" customWidth="1"/>
    <col min="6" max="6" width="27" style="11" customWidth="1"/>
    <col min="7" max="7" width="13.5703125" style="13" customWidth="1"/>
    <col min="8" max="8" width="0.42578125" style="13" customWidth="1"/>
    <col min="9" max="9" width="11.140625" style="13" customWidth="1"/>
    <col min="10" max="10" width="11.140625" style="62" customWidth="1"/>
    <col min="11" max="11" width="5.140625" style="15" customWidth="1"/>
    <col min="12" max="12" width="7.7109375" style="16" customWidth="1"/>
    <col min="13" max="13" width="7.5703125" style="26" customWidth="1"/>
    <col min="14" max="14" width="10.140625" style="16" customWidth="1"/>
    <col min="15" max="15" width="10.28515625" style="16" customWidth="1"/>
    <col min="16" max="16" width="7.5703125" style="17" customWidth="1"/>
    <col min="17" max="17" width="9.42578125" style="17" hidden="1" customWidth="1"/>
    <col min="18" max="18" width="9.140625" style="17" hidden="1" customWidth="1"/>
    <col min="19" max="19" width="9" style="17" hidden="1" customWidth="1"/>
    <col min="20" max="20" width="7.42578125" style="17" hidden="1" customWidth="1"/>
    <col min="21" max="21" width="7.42578125" style="17" customWidth="1"/>
    <col min="22" max="22" width="8.7109375" style="17" customWidth="1"/>
    <col min="23" max="24" width="9" style="17" customWidth="1"/>
    <col min="25" max="25" width="9.140625" style="20" customWidth="1"/>
    <col min="26" max="26" width="7.42578125" style="17" customWidth="1"/>
    <col min="27" max="27" width="7.5703125" style="20" customWidth="1"/>
    <col min="28" max="28" width="6.85546875" style="21" customWidth="1"/>
    <col min="29" max="29" width="8.5703125" style="22" customWidth="1"/>
    <col min="30" max="31" width="7.7109375" style="24" customWidth="1"/>
    <col min="32" max="34" width="7.7109375" style="44" customWidth="1"/>
    <col min="35" max="35" width="7.7109375" style="25" customWidth="1"/>
    <col min="36" max="36" width="9.28515625" style="26" customWidth="1"/>
    <col min="37" max="37" width="7.42578125" style="26" customWidth="1"/>
    <col min="38" max="38" width="8.85546875" style="27" customWidth="1"/>
    <col min="39" max="39" width="9" style="27" customWidth="1"/>
    <col min="40" max="40" width="9.5703125" style="27" customWidth="1"/>
    <col min="41" max="41" width="9.140625" style="28" customWidth="1"/>
    <col min="42" max="42" width="12.85546875" style="28" customWidth="1"/>
    <col min="43" max="43" width="10.85546875" style="28" customWidth="1"/>
    <col min="44" max="44" width="11.140625" style="28" customWidth="1"/>
    <col min="45" max="45" width="8" style="28" customWidth="1"/>
    <col min="46" max="46" width="11.5703125" style="28" customWidth="1"/>
    <col min="47" max="47" width="40" style="11" customWidth="1"/>
    <col min="48" max="48" width="10.42578125" style="11" customWidth="1"/>
    <col min="49" max="49" width="13.28515625" style="11" customWidth="1"/>
    <col min="50" max="50" width="10.7109375" style="34" customWidth="1"/>
    <col min="51" max="51" width="9.140625" style="16"/>
    <col min="52" max="52" width="9.140625" style="34"/>
    <col min="53" max="53" width="10.140625" style="34" customWidth="1"/>
    <col min="54" max="55" width="9.140625" style="16"/>
    <col min="56" max="58" width="11" style="11" customWidth="1"/>
    <col min="59" max="59" width="11.140625" style="34" customWidth="1"/>
    <col min="60" max="60" width="10.5703125" style="16" customWidth="1"/>
    <col min="61" max="62" width="10.5703125" style="34" customWidth="1"/>
    <col min="63" max="63" width="10.85546875" style="11" customWidth="1"/>
    <col min="64" max="64" width="11.140625" style="11" customWidth="1"/>
    <col min="65" max="65" width="10.7109375" style="11" customWidth="1"/>
    <col min="66" max="66" width="9.140625" style="11"/>
    <col min="67" max="67" width="11.5703125" style="34" customWidth="1"/>
    <col min="68" max="68" width="10.85546875" style="11" customWidth="1"/>
    <col min="69" max="69" width="10" style="11" customWidth="1"/>
    <col min="70" max="70" width="10.7109375" style="11" customWidth="1"/>
    <col min="71" max="71" width="9.140625" style="25"/>
    <col min="72" max="73" width="9.140625" style="34"/>
    <col min="74" max="16384" width="9.140625" style="11"/>
  </cols>
  <sheetData>
    <row r="1" spans="1:251" s="1" customFormat="1" ht="31.5" customHeight="1" x14ac:dyDescent="0.2">
      <c r="A1" s="1" t="s">
        <v>0</v>
      </c>
      <c r="B1" s="1" t="s">
        <v>20</v>
      </c>
      <c r="C1" s="1" t="s">
        <v>38</v>
      </c>
      <c r="D1" s="1" t="s">
        <v>1</v>
      </c>
      <c r="E1" s="2" t="s">
        <v>2</v>
      </c>
      <c r="F1" s="1" t="s">
        <v>3</v>
      </c>
      <c r="G1" s="3" t="s">
        <v>4</v>
      </c>
      <c r="H1" s="3" t="s">
        <v>32</v>
      </c>
      <c r="I1" s="3" t="s">
        <v>31</v>
      </c>
      <c r="J1" s="3" t="s">
        <v>16</v>
      </c>
      <c r="K1" s="4" t="s">
        <v>5</v>
      </c>
      <c r="L1" s="5" t="s">
        <v>6</v>
      </c>
      <c r="M1" s="5" t="s">
        <v>7</v>
      </c>
      <c r="N1" s="5" t="s">
        <v>27</v>
      </c>
      <c r="O1" s="5" t="s">
        <v>28</v>
      </c>
      <c r="P1" s="4" t="s">
        <v>8</v>
      </c>
      <c r="Q1" s="4" t="s">
        <v>26</v>
      </c>
      <c r="R1" s="4" t="s">
        <v>9</v>
      </c>
      <c r="S1" s="4" t="s">
        <v>11</v>
      </c>
      <c r="T1" s="4" t="s">
        <v>21</v>
      </c>
      <c r="U1" s="4" t="s">
        <v>44</v>
      </c>
      <c r="V1" s="4" t="s">
        <v>29</v>
      </c>
      <c r="W1" s="4" t="s">
        <v>30</v>
      </c>
      <c r="X1" s="4" t="s">
        <v>12</v>
      </c>
      <c r="Y1" s="6" t="s">
        <v>10</v>
      </c>
      <c r="Z1" s="4" t="s">
        <v>14</v>
      </c>
      <c r="AA1" s="6" t="s">
        <v>15</v>
      </c>
      <c r="AB1" s="7" t="s">
        <v>13</v>
      </c>
      <c r="AC1" s="7" t="s">
        <v>25</v>
      </c>
      <c r="AD1" s="6" t="s">
        <v>45</v>
      </c>
      <c r="AE1" s="6" t="s">
        <v>19</v>
      </c>
      <c r="AF1" s="8" t="s">
        <v>18</v>
      </c>
      <c r="AG1" s="8" t="s">
        <v>17</v>
      </c>
      <c r="AH1" s="8" t="s">
        <v>47</v>
      </c>
      <c r="AI1" s="9" t="s">
        <v>41</v>
      </c>
      <c r="AJ1" s="5" t="s">
        <v>33</v>
      </c>
      <c r="AK1" s="5" t="s">
        <v>43</v>
      </c>
      <c r="AL1" s="9" t="s">
        <v>22</v>
      </c>
      <c r="AM1" s="9" t="s">
        <v>23</v>
      </c>
      <c r="AN1" s="9" t="s">
        <v>24</v>
      </c>
      <c r="AO1" s="8" t="s">
        <v>34</v>
      </c>
      <c r="AP1" s="8" t="s">
        <v>35</v>
      </c>
      <c r="AQ1" s="8" t="s">
        <v>36</v>
      </c>
      <c r="AR1" s="8" t="s">
        <v>37</v>
      </c>
      <c r="AS1" s="8" t="s">
        <v>42</v>
      </c>
      <c r="AT1" s="8" t="s">
        <v>39</v>
      </c>
      <c r="AU1" s="8" t="s">
        <v>40</v>
      </c>
      <c r="AV1" s="10"/>
      <c r="AX1" s="10"/>
      <c r="AY1" s="5"/>
      <c r="AZ1" s="10"/>
      <c r="BA1" s="10"/>
      <c r="BB1" s="5"/>
      <c r="BC1" s="10"/>
      <c r="BG1" s="10"/>
      <c r="BH1" s="5"/>
      <c r="BI1" s="10"/>
      <c r="BK1" s="10"/>
      <c r="BL1" s="5"/>
      <c r="BO1" s="10"/>
      <c r="BS1" s="9"/>
      <c r="BT1" s="10"/>
      <c r="BU1" s="10"/>
    </row>
    <row r="2" spans="1:251" x14ac:dyDescent="0.2">
      <c r="A2" s="11">
        <v>63</v>
      </c>
      <c r="B2" s="11" t="s">
        <v>46</v>
      </c>
      <c r="C2" s="11" t="s">
        <v>173</v>
      </c>
      <c r="D2" s="32" t="s">
        <v>61</v>
      </c>
      <c r="E2" s="12" t="s">
        <v>130</v>
      </c>
      <c r="F2" s="11" t="s">
        <v>50</v>
      </c>
      <c r="G2" s="13">
        <v>42814</v>
      </c>
      <c r="I2" s="13">
        <v>43041</v>
      </c>
      <c r="J2" s="14">
        <v>43152</v>
      </c>
      <c r="K2" s="15">
        <v>112</v>
      </c>
      <c r="L2" s="16">
        <f t="shared" ref="L2:L89" si="0">J2-G2</f>
        <v>338</v>
      </c>
      <c r="M2" s="16">
        <v>576</v>
      </c>
      <c r="N2" s="16">
        <v>620</v>
      </c>
      <c r="O2" s="16">
        <v>612</v>
      </c>
      <c r="P2" s="17">
        <f t="shared" ref="P2:P89" si="1">AVERAGE(N2:O2)</f>
        <v>616</v>
      </c>
      <c r="U2" s="18">
        <v>1000</v>
      </c>
      <c r="V2" s="17">
        <v>1020</v>
      </c>
      <c r="W2" s="19">
        <v>1015</v>
      </c>
      <c r="X2" s="17">
        <f t="shared" ref="X2:X89" si="2">(V2+W2)/2</f>
        <v>1017.5</v>
      </c>
      <c r="Y2" s="20">
        <f t="shared" ref="Y2:Y89" si="3">(X2/L2)</f>
        <v>3.0103550295857988</v>
      </c>
      <c r="Z2" s="17">
        <f t="shared" ref="Z2:Z89" si="4">(X2-P2)</f>
        <v>401.5</v>
      </c>
      <c r="AA2" s="20">
        <f t="shared" ref="AA2:AA89" si="5">(Z2/112)</f>
        <v>3.5848214285714284</v>
      </c>
      <c r="AB2" s="21">
        <v>47</v>
      </c>
      <c r="AC2" s="22">
        <f t="shared" ref="AC2:AC89" si="6">-11.548+0.4878*(AB2)-0.0289*(L2)+0.00001947*(L2*L2)+0.0000334*(AB2*L2)</f>
        <v>4.3653230800000005</v>
      </c>
      <c r="AD2" s="23">
        <v>11.0939</v>
      </c>
      <c r="AE2" s="24">
        <f t="shared" ref="AE2:AE89" si="7">AD2/U2*100</f>
        <v>1.1093900000000001</v>
      </c>
      <c r="AF2" s="23">
        <v>0.28356399999999998</v>
      </c>
      <c r="AG2" s="23">
        <v>4.1207099999999999</v>
      </c>
      <c r="AH2" s="23">
        <v>0.35670299999999999</v>
      </c>
      <c r="AI2" s="25">
        <v>35.5</v>
      </c>
      <c r="AJ2" s="26">
        <v>2</v>
      </c>
      <c r="AK2" s="26">
        <v>6</v>
      </c>
      <c r="AL2" s="27">
        <v>15</v>
      </c>
      <c r="AM2" s="27">
        <v>10.5</v>
      </c>
      <c r="AN2" s="27">
        <f t="shared" ref="AN2:AN89" si="8">(AL2*AM2)</f>
        <v>157.5</v>
      </c>
      <c r="AO2" s="28">
        <f>(AA2/3.25)*100</f>
        <v>110.30219780219778</v>
      </c>
      <c r="AP2" s="28">
        <f>(AE2/1.16)*100</f>
        <v>95.637068965517258</v>
      </c>
      <c r="AQ2" s="28">
        <f>(Y2/2.79)*100</f>
        <v>107.89802973425802</v>
      </c>
      <c r="AR2" s="28">
        <f>(AG2/3.56)*100</f>
        <v>115.7502808988764</v>
      </c>
      <c r="AS2" s="28">
        <f>(AI2/33.4)*100</f>
        <v>106.2874251497006</v>
      </c>
      <c r="AT2" s="28">
        <f t="shared" ref="AT2:AT89" si="9">(AO2*0.3)+(AP2*0.2)+(AQ2*0.2)+(AR2*0.2)+(AS2*0.1)</f>
        <v>107.57647777535972</v>
      </c>
      <c r="AU2" s="11" t="s">
        <v>196</v>
      </c>
      <c r="AV2" s="30"/>
      <c r="AW2" s="30"/>
      <c r="AX2" s="30"/>
      <c r="AY2" s="29"/>
      <c r="AZ2" s="30"/>
      <c r="BA2" s="30"/>
      <c r="BB2" s="29"/>
      <c r="BC2" s="30"/>
      <c r="BD2" s="30"/>
      <c r="BE2" s="30"/>
      <c r="BF2" s="30"/>
      <c r="BG2" s="30"/>
      <c r="BH2" s="29"/>
      <c r="BI2" s="30"/>
      <c r="BJ2" s="30"/>
      <c r="BK2" s="30"/>
      <c r="BL2" s="29"/>
      <c r="BM2" s="30"/>
      <c r="BN2" s="29"/>
      <c r="BO2" s="30"/>
      <c r="BP2" s="30"/>
      <c r="BQ2" s="30"/>
      <c r="BR2" s="30"/>
      <c r="BS2" s="31"/>
      <c r="BT2" s="30"/>
      <c r="BU2" s="30"/>
    </row>
    <row r="3" spans="1:251" x14ac:dyDescent="0.2">
      <c r="A3" s="11">
        <v>16</v>
      </c>
      <c r="B3" s="11" t="s">
        <v>46</v>
      </c>
      <c r="C3" s="11" t="s">
        <v>173</v>
      </c>
      <c r="D3" s="32" t="s">
        <v>49</v>
      </c>
      <c r="E3" s="12" t="s">
        <v>82</v>
      </c>
      <c r="F3" s="11" t="s">
        <v>50</v>
      </c>
      <c r="G3" s="13">
        <v>42851</v>
      </c>
      <c r="I3" s="13">
        <v>43041</v>
      </c>
      <c r="J3" s="14">
        <v>43152</v>
      </c>
      <c r="K3" s="15">
        <v>101</v>
      </c>
      <c r="L3" s="16">
        <f t="shared" si="0"/>
        <v>301</v>
      </c>
      <c r="M3" s="16">
        <v>512</v>
      </c>
      <c r="N3" s="16">
        <v>528</v>
      </c>
      <c r="O3" s="16">
        <v>502</v>
      </c>
      <c r="P3" s="17">
        <f t="shared" si="1"/>
        <v>515</v>
      </c>
      <c r="U3" s="18">
        <v>872</v>
      </c>
      <c r="V3" s="17">
        <v>876</v>
      </c>
      <c r="W3" s="17">
        <v>900</v>
      </c>
      <c r="X3" s="17">
        <f t="shared" si="2"/>
        <v>888</v>
      </c>
      <c r="Y3" s="20">
        <f t="shared" si="3"/>
        <v>2.9501661129568104</v>
      </c>
      <c r="Z3" s="17">
        <f t="shared" si="4"/>
        <v>373</v>
      </c>
      <c r="AA3" s="20">
        <f t="shared" si="5"/>
        <v>3.3303571428571428</v>
      </c>
      <c r="AB3" s="21">
        <v>49</v>
      </c>
      <c r="AC3" s="22">
        <f t="shared" si="6"/>
        <v>5.9119180700000005</v>
      </c>
      <c r="AD3" s="23">
        <v>11.2454</v>
      </c>
      <c r="AE3" s="24">
        <f t="shared" si="7"/>
        <v>1.2896100917431192</v>
      </c>
      <c r="AF3" s="23">
        <v>0.21876699999999999</v>
      </c>
      <c r="AG3" s="23">
        <v>3.5205799999999998</v>
      </c>
      <c r="AH3" s="23">
        <v>0.39536399999999999</v>
      </c>
      <c r="AI3" s="25">
        <v>32.5</v>
      </c>
      <c r="AJ3" s="26">
        <v>3</v>
      </c>
      <c r="AK3" s="26">
        <v>6</v>
      </c>
      <c r="AL3" s="27">
        <v>13</v>
      </c>
      <c r="AM3" s="27">
        <v>10</v>
      </c>
      <c r="AN3" s="27">
        <f t="shared" si="8"/>
        <v>130</v>
      </c>
      <c r="AO3" s="28">
        <f t="shared" ref="AO3:AO11" si="10">(AA3/3.25)*100</f>
        <v>102.47252747252746</v>
      </c>
      <c r="AP3" s="28">
        <f t="shared" ref="AP3:AP11" si="11">(AE3/1.16)*100</f>
        <v>111.17328377095856</v>
      </c>
      <c r="AQ3" s="28">
        <f t="shared" ref="AQ3:AQ11" si="12">(Y3/2.79)*100</f>
        <v>105.74072089450934</v>
      </c>
      <c r="AR3" s="28">
        <f t="shared" ref="AR3:AR11" si="13">(AG3/3.56)*100</f>
        <v>98.892696629213475</v>
      </c>
      <c r="AS3" s="28">
        <f t="shared" ref="AS3:AS11" si="14">(AI3/33.4)*100</f>
        <v>97.305389221556894</v>
      </c>
      <c r="AT3" s="28">
        <f t="shared" si="9"/>
        <v>103.63363742285021</v>
      </c>
      <c r="AU3" s="11" t="s">
        <v>197</v>
      </c>
      <c r="AV3" s="30"/>
      <c r="AW3" s="30"/>
      <c r="AX3" s="30"/>
      <c r="AY3" s="29"/>
      <c r="AZ3" s="30"/>
      <c r="BA3" s="30"/>
      <c r="BB3" s="29"/>
      <c r="BC3" s="30"/>
      <c r="BD3" s="30"/>
      <c r="BE3" s="30"/>
      <c r="BF3" s="30"/>
      <c r="BG3" s="30"/>
      <c r="BH3" s="29"/>
      <c r="BI3" s="30"/>
      <c r="BJ3" s="30"/>
      <c r="BK3" s="30"/>
      <c r="BL3" s="29"/>
      <c r="BM3" s="30"/>
      <c r="BN3" s="29"/>
      <c r="BO3" s="30"/>
      <c r="BP3" s="30"/>
      <c r="BQ3" s="30"/>
      <c r="BR3" s="30"/>
      <c r="BS3" s="31"/>
      <c r="BT3" s="30"/>
      <c r="BU3" s="30"/>
    </row>
    <row r="4" spans="1:251" x14ac:dyDescent="0.2">
      <c r="A4" s="11">
        <v>13</v>
      </c>
      <c r="B4" s="11" t="s">
        <v>46</v>
      </c>
      <c r="C4" s="11" t="s">
        <v>173</v>
      </c>
      <c r="D4" s="32" t="s">
        <v>49</v>
      </c>
      <c r="E4" s="12" t="s">
        <v>79</v>
      </c>
      <c r="F4" s="11" t="s">
        <v>50</v>
      </c>
      <c r="G4" s="13">
        <v>42791</v>
      </c>
      <c r="I4" s="13">
        <v>43041</v>
      </c>
      <c r="J4" s="14">
        <v>43152</v>
      </c>
      <c r="K4" s="15">
        <v>101</v>
      </c>
      <c r="L4" s="16">
        <f t="shared" si="0"/>
        <v>361</v>
      </c>
      <c r="M4" s="16">
        <v>564</v>
      </c>
      <c r="N4" s="11">
        <v>566</v>
      </c>
      <c r="O4" s="16">
        <v>556</v>
      </c>
      <c r="P4" s="17">
        <f t="shared" si="1"/>
        <v>561</v>
      </c>
      <c r="U4" s="18">
        <v>954</v>
      </c>
      <c r="V4" s="15">
        <v>954</v>
      </c>
      <c r="W4" s="17">
        <v>966</v>
      </c>
      <c r="X4" s="17">
        <f t="shared" si="2"/>
        <v>960</v>
      </c>
      <c r="Y4" s="20">
        <f t="shared" si="3"/>
        <v>2.6592797783933517</v>
      </c>
      <c r="Z4" s="17">
        <f t="shared" si="4"/>
        <v>399</v>
      </c>
      <c r="AA4" s="20">
        <f t="shared" si="5"/>
        <v>3.5625</v>
      </c>
      <c r="AB4" s="21">
        <v>49</v>
      </c>
      <c r="AC4" s="22">
        <f t="shared" si="6"/>
        <v>5.0494624699999999</v>
      </c>
      <c r="AD4" s="23">
        <v>11.241099999999999</v>
      </c>
      <c r="AE4" s="24">
        <f t="shared" si="7"/>
        <v>1.1783123689727462</v>
      </c>
      <c r="AF4" s="23">
        <v>0.22500600000000001</v>
      </c>
      <c r="AG4" s="23">
        <v>3.5702799999999999</v>
      </c>
      <c r="AH4" s="23">
        <v>0.31933099999999998</v>
      </c>
      <c r="AI4" s="25">
        <v>34</v>
      </c>
      <c r="AJ4" s="26">
        <v>4</v>
      </c>
      <c r="AK4" s="26">
        <v>7</v>
      </c>
      <c r="AL4" s="27">
        <v>14.5</v>
      </c>
      <c r="AM4" s="27">
        <v>10</v>
      </c>
      <c r="AN4" s="27">
        <f t="shared" si="8"/>
        <v>145</v>
      </c>
      <c r="AO4" s="28">
        <f t="shared" si="10"/>
        <v>109.61538461538463</v>
      </c>
      <c r="AP4" s="28">
        <f t="shared" si="11"/>
        <v>101.57865249765055</v>
      </c>
      <c r="AQ4" s="28">
        <f t="shared" si="12"/>
        <v>95.314687397611181</v>
      </c>
      <c r="AR4" s="28">
        <f t="shared" si="13"/>
        <v>100.28876404494382</v>
      </c>
      <c r="AS4" s="28">
        <f t="shared" si="14"/>
        <v>101.79640718562875</v>
      </c>
      <c r="AT4" s="28">
        <f t="shared" si="9"/>
        <v>102.50067689121938</v>
      </c>
      <c r="AV4" s="30"/>
      <c r="AW4" s="30"/>
      <c r="AX4" s="30"/>
      <c r="AY4" s="29"/>
      <c r="AZ4" s="30"/>
      <c r="BA4" s="30"/>
      <c r="BB4" s="29"/>
      <c r="BC4" s="30"/>
      <c r="BD4" s="30"/>
      <c r="BE4" s="30"/>
      <c r="BF4" s="30"/>
      <c r="BG4" s="30"/>
      <c r="BH4" s="29"/>
      <c r="BI4" s="30"/>
      <c r="BJ4" s="30"/>
      <c r="BK4" s="30"/>
      <c r="BL4" s="29"/>
      <c r="BM4" s="30"/>
      <c r="BN4" s="29"/>
      <c r="BO4" s="30"/>
      <c r="BP4" s="30"/>
      <c r="BQ4" s="30"/>
      <c r="BR4" s="30"/>
      <c r="BS4" s="31"/>
      <c r="BT4" s="30"/>
      <c r="BU4" s="30"/>
    </row>
    <row r="5" spans="1:251" x14ac:dyDescent="0.2">
      <c r="A5" s="11">
        <v>62</v>
      </c>
      <c r="B5" s="11" t="s">
        <v>46</v>
      </c>
      <c r="C5" s="11" t="s">
        <v>173</v>
      </c>
      <c r="D5" s="32" t="s">
        <v>61</v>
      </c>
      <c r="E5" s="12" t="s">
        <v>129</v>
      </c>
      <c r="F5" s="11" t="s">
        <v>50</v>
      </c>
      <c r="G5" s="36">
        <v>42737</v>
      </c>
      <c r="I5" s="13">
        <v>43041</v>
      </c>
      <c r="J5" s="14">
        <v>43152</v>
      </c>
      <c r="K5" s="15">
        <v>112</v>
      </c>
      <c r="L5" s="16">
        <f t="shared" si="0"/>
        <v>415</v>
      </c>
      <c r="M5" s="16">
        <v>620</v>
      </c>
      <c r="N5" s="16">
        <v>702</v>
      </c>
      <c r="O5" s="16">
        <v>678</v>
      </c>
      <c r="P5" s="17">
        <f t="shared" si="1"/>
        <v>690</v>
      </c>
      <c r="U5" s="18">
        <v>1080</v>
      </c>
      <c r="V5" s="17">
        <v>1090</v>
      </c>
      <c r="W5" s="19">
        <v>1110</v>
      </c>
      <c r="X5" s="17">
        <f t="shared" si="2"/>
        <v>1100</v>
      </c>
      <c r="Y5" s="20">
        <f t="shared" si="3"/>
        <v>2.6506024096385543</v>
      </c>
      <c r="Z5" s="17">
        <f t="shared" si="4"/>
        <v>410</v>
      </c>
      <c r="AA5" s="20">
        <f t="shared" si="5"/>
        <v>3.6607142857142856</v>
      </c>
      <c r="AB5" s="21">
        <v>50.5</v>
      </c>
      <c r="AC5" s="22">
        <f t="shared" si="6"/>
        <v>5.1456012500000012</v>
      </c>
      <c r="AD5" s="23">
        <v>11.869400000000001</v>
      </c>
      <c r="AE5" s="24">
        <f t="shared" si="7"/>
        <v>1.0990185185185186</v>
      </c>
      <c r="AF5" s="23">
        <v>0.23404900000000001</v>
      </c>
      <c r="AG5" s="23">
        <v>3.18404</v>
      </c>
      <c r="AH5" s="23">
        <v>0.40956599999999999</v>
      </c>
      <c r="AI5" s="25">
        <v>37</v>
      </c>
      <c r="AJ5" s="26">
        <v>1</v>
      </c>
      <c r="AK5" s="26">
        <v>6</v>
      </c>
      <c r="AL5" s="27">
        <v>16</v>
      </c>
      <c r="AM5" s="27">
        <v>11</v>
      </c>
      <c r="AN5" s="27">
        <f t="shared" si="8"/>
        <v>176</v>
      </c>
      <c r="AO5" s="28">
        <f t="shared" si="10"/>
        <v>112.63736263736264</v>
      </c>
      <c r="AP5" s="28">
        <f t="shared" si="11"/>
        <v>94.742975734355056</v>
      </c>
      <c r="AQ5" s="28">
        <f t="shared" si="12"/>
        <v>95.00367059636396</v>
      </c>
      <c r="AR5" s="28">
        <f t="shared" si="13"/>
        <v>89.439325842696633</v>
      </c>
      <c r="AS5" s="28">
        <f t="shared" si="14"/>
        <v>110.77844311377245</v>
      </c>
      <c r="AT5" s="28">
        <f t="shared" si="9"/>
        <v>100.70624753726918</v>
      </c>
      <c r="AV5" s="30"/>
      <c r="AW5" s="30"/>
      <c r="AX5" s="30"/>
      <c r="AY5" s="29"/>
      <c r="AZ5" s="30"/>
      <c r="BA5" s="30"/>
      <c r="BB5" s="29"/>
      <c r="BC5" s="30"/>
      <c r="BD5" s="30"/>
      <c r="BE5" s="30"/>
      <c r="BF5" s="30"/>
      <c r="BG5" s="30"/>
      <c r="BH5" s="29"/>
      <c r="BI5" s="30"/>
      <c r="BJ5" s="30"/>
      <c r="BK5" s="30"/>
      <c r="BL5" s="29"/>
      <c r="BM5" s="30"/>
      <c r="BN5" s="29"/>
      <c r="BO5" s="30"/>
      <c r="BP5" s="30"/>
      <c r="BQ5" s="30"/>
      <c r="BR5" s="30"/>
      <c r="BS5" s="31"/>
      <c r="BT5" s="30"/>
      <c r="BU5" s="30"/>
    </row>
    <row r="6" spans="1:251" x14ac:dyDescent="0.2">
      <c r="A6" s="11">
        <v>60</v>
      </c>
      <c r="B6" s="11" t="s">
        <v>46</v>
      </c>
      <c r="C6" s="11" t="s">
        <v>173</v>
      </c>
      <c r="D6" s="32" t="s">
        <v>61</v>
      </c>
      <c r="E6" s="12" t="s">
        <v>127</v>
      </c>
      <c r="F6" s="11" t="s">
        <v>50</v>
      </c>
      <c r="G6" s="13">
        <v>42825</v>
      </c>
      <c r="I6" s="13">
        <v>43041</v>
      </c>
      <c r="J6" s="14">
        <v>43152</v>
      </c>
      <c r="K6" s="15">
        <v>112</v>
      </c>
      <c r="L6" s="16">
        <f t="shared" si="0"/>
        <v>327</v>
      </c>
      <c r="M6" s="16">
        <v>433</v>
      </c>
      <c r="N6" s="11">
        <v>481</v>
      </c>
      <c r="O6" s="16">
        <v>488</v>
      </c>
      <c r="P6" s="17">
        <f t="shared" si="1"/>
        <v>484.5</v>
      </c>
      <c r="U6" s="18">
        <v>844</v>
      </c>
      <c r="V6" s="15">
        <v>842</v>
      </c>
      <c r="W6" s="19">
        <v>842</v>
      </c>
      <c r="X6" s="17">
        <f t="shared" si="2"/>
        <v>842</v>
      </c>
      <c r="Y6" s="20">
        <f t="shared" si="3"/>
        <v>2.5749235474006116</v>
      </c>
      <c r="Z6" s="17">
        <f t="shared" si="4"/>
        <v>357.5</v>
      </c>
      <c r="AA6" s="20">
        <f t="shared" si="5"/>
        <v>3.1919642857142856</v>
      </c>
      <c r="AB6" s="21">
        <v>48</v>
      </c>
      <c r="AC6" s="22">
        <f t="shared" si="6"/>
        <v>5.02225403</v>
      </c>
      <c r="AD6" s="23">
        <v>8.9254899999999999</v>
      </c>
      <c r="AE6" s="24">
        <f t="shared" si="7"/>
        <v>1.0575225118483413</v>
      </c>
      <c r="AF6" s="23">
        <v>0.19967299999999999</v>
      </c>
      <c r="AG6" s="23">
        <v>4.1691000000000003</v>
      </c>
      <c r="AH6" s="23">
        <v>0.42529</v>
      </c>
      <c r="AI6" s="25">
        <v>35</v>
      </c>
      <c r="AJ6" s="26">
        <v>2</v>
      </c>
      <c r="AK6" s="26">
        <v>6</v>
      </c>
      <c r="AL6" s="27">
        <v>12</v>
      </c>
      <c r="AM6" s="27">
        <v>10</v>
      </c>
      <c r="AN6" s="27">
        <f t="shared" si="8"/>
        <v>120</v>
      </c>
      <c r="AO6" s="28">
        <f t="shared" si="10"/>
        <v>98.214285714285708</v>
      </c>
      <c r="AP6" s="28">
        <f t="shared" si="11"/>
        <v>91.165733780029427</v>
      </c>
      <c r="AQ6" s="28">
        <f t="shared" si="12"/>
        <v>92.291166573498614</v>
      </c>
      <c r="AR6" s="28">
        <f t="shared" si="13"/>
        <v>117.10955056179775</v>
      </c>
      <c r="AS6" s="28">
        <f t="shared" si="14"/>
        <v>104.79041916167664</v>
      </c>
      <c r="AT6" s="28">
        <f t="shared" si="9"/>
        <v>100.05661781351854</v>
      </c>
      <c r="AV6" s="30"/>
      <c r="AW6" s="30"/>
      <c r="AX6" s="30"/>
      <c r="AY6" s="29"/>
      <c r="AZ6" s="30"/>
      <c r="BA6" s="30"/>
      <c r="BC6" s="30"/>
      <c r="BD6" s="30"/>
      <c r="BE6" s="30"/>
      <c r="BF6" s="30"/>
      <c r="BG6" s="30"/>
      <c r="BH6" s="29"/>
      <c r="BI6" s="30"/>
      <c r="BJ6" s="30"/>
      <c r="BK6" s="30"/>
      <c r="BL6" s="29"/>
      <c r="BM6" s="30"/>
      <c r="BN6" s="29"/>
      <c r="BO6" s="30"/>
      <c r="BP6" s="30"/>
      <c r="BQ6" s="30"/>
      <c r="BR6" s="30"/>
      <c r="BS6" s="31"/>
      <c r="BT6" s="30"/>
      <c r="BU6" s="30"/>
    </row>
    <row r="7" spans="1:251" ht="15.75" x14ac:dyDescent="0.25">
      <c r="A7" s="11">
        <v>11</v>
      </c>
      <c r="B7" s="11" t="s">
        <v>46</v>
      </c>
      <c r="C7" s="11" t="s">
        <v>173</v>
      </c>
      <c r="D7" s="32" t="s">
        <v>49</v>
      </c>
      <c r="E7" s="12" t="s">
        <v>77</v>
      </c>
      <c r="F7" s="11" t="s">
        <v>50</v>
      </c>
      <c r="G7" s="13">
        <v>42814</v>
      </c>
      <c r="I7" s="13">
        <v>43041</v>
      </c>
      <c r="J7" s="14">
        <v>43152</v>
      </c>
      <c r="K7" s="15">
        <v>101</v>
      </c>
      <c r="L7" s="16">
        <f t="shared" si="0"/>
        <v>338</v>
      </c>
      <c r="M7" s="16">
        <v>584</v>
      </c>
      <c r="N7" s="16">
        <v>620</v>
      </c>
      <c r="O7" s="16">
        <v>610</v>
      </c>
      <c r="P7" s="17">
        <f t="shared" si="1"/>
        <v>615</v>
      </c>
      <c r="U7" s="18">
        <v>1005</v>
      </c>
      <c r="V7" s="17">
        <v>992</v>
      </c>
      <c r="W7" s="19">
        <v>992</v>
      </c>
      <c r="X7" s="17">
        <f t="shared" si="2"/>
        <v>992</v>
      </c>
      <c r="Y7" s="20">
        <f t="shared" si="3"/>
        <v>2.9349112426035502</v>
      </c>
      <c r="Z7" s="17">
        <f t="shared" si="4"/>
        <v>377</v>
      </c>
      <c r="AA7" s="20">
        <f t="shared" si="5"/>
        <v>3.3660714285714284</v>
      </c>
      <c r="AB7" s="21">
        <v>50</v>
      </c>
      <c r="AC7" s="22">
        <f t="shared" si="6"/>
        <v>5.8625906800000003</v>
      </c>
      <c r="AD7" s="23">
        <v>11.0458</v>
      </c>
      <c r="AE7" s="24">
        <f t="shared" si="7"/>
        <v>1.0990845771144278</v>
      </c>
      <c r="AF7" s="23">
        <v>0.283111</v>
      </c>
      <c r="AG7" s="23">
        <v>3.1090599999999999</v>
      </c>
      <c r="AH7" s="23">
        <v>0.38927699999999998</v>
      </c>
      <c r="AI7" s="25">
        <v>37</v>
      </c>
      <c r="AJ7" s="26">
        <v>1</v>
      </c>
      <c r="AK7" s="26">
        <v>7</v>
      </c>
      <c r="AL7" s="27">
        <v>14.5</v>
      </c>
      <c r="AM7" s="27">
        <v>10.5</v>
      </c>
      <c r="AN7" s="27">
        <f t="shared" si="8"/>
        <v>152.25</v>
      </c>
      <c r="AO7" s="28">
        <f t="shared" si="10"/>
        <v>103.57142857142856</v>
      </c>
      <c r="AP7" s="28">
        <f t="shared" si="11"/>
        <v>94.748670440898948</v>
      </c>
      <c r="AQ7" s="28">
        <f t="shared" si="12"/>
        <v>105.19395134779749</v>
      </c>
      <c r="AR7" s="28">
        <f t="shared" si="13"/>
        <v>87.333146067415726</v>
      </c>
      <c r="AS7" s="28">
        <f t="shared" si="14"/>
        <v>110.77844311377245</v>
      </c>
      <c r="AT7" s="28">
        <f t="shared" si="9"/>
        <v>99.604426454028243</v>
      </c>
      <c r="AU7" s="35"/>
    </row>
    <row r="8" spans="1:251" x14ac:dyDescent="0.2">
      <c r="A8" s="11">
        <v>14</v>
      </c>
      <c r="B8" s="11" t="s">
        <v>46</v>
      </c>
      <c r="C8" s="11" t="s">
        <v>173</v>
      </c>
      <c r="D8" s="32" t="s">
        <v>49</v>
      </c>
      <c r="E8" s="12" t="s">
        <v>80</v>
      </c>
      <c r="F8" s="11" t="s">
        <v>50</v>
      </c>
      <c r="G8" s="13">
        <v>42763</v>
      </c>
      <c r="I8" s="13">
        <v>43041</v>
      </c>
      <c r="J8" s="14">
        <v>43152</v>
      </c>
      <c r="K8" s="15">
        <v>101</v>
      </c>
      <c r="L8" s="16">
        <f>J8-G8</f>
        <v>389</v>
      </c>
      <c r="M8" s="16">
        <v>582</v>
      </c>
      <c r="N8" s="16">
        <v>616</v>
      </c>
      <c r="O8" s="16">
        <v>604</v>
      </c>
      <c r="P8" s="17">
        <f>AVERAGE(N8:O8)</f>
        <v>610</v>
      </c>
      <c r="U8" s="18">
        <v>974</v>
      </c>
      <c r="V8" s="17">
        <v>988</v>
      </c>
      <c r="W8" s="19">
        <v>988</v>
      </c>
      <c r="X8" s="17">
        <f>(V8+W8)/2</f>
        <v>988</v>
      </c>
      <c r="Y8" s="20">
        <f>(X8/L8)</f>
        <v>2.5398457583547556</v>
      </c>
      <c r="Z8" s="17">
        <f>(X8-P8)</f>
        <v>378</v>
      </c>
      <c r="AA8" s="20">
        <f>(Z8/112)</f>
        <v>3.375</v>
      </c>
      <c r="AB8" s="21">
        <v>49</v>
      </c>
      <c r="AC8" s="22">
        <f>-11.548+0.4878*(AB8)-0.0289*(L8)+0.00001947*(L8*L8)+0.0000334*(AB8*L8)</f>
        <v>4.6949572700000015</v>
      </c>
      <c r="AD8" s="23">
        <v>10.279299999999999</v>
      </c>
      <c r="AE8" s="24">
        <f>AD8/U8*100</f>
        <v>1.0553696098562628</v>
      </c>
      <c r="AF8" s="23">
        <v>0.27435199999999998</v>
      </c>
      <c r="AG8" s="23">
        <v>3.4856099999999999</v>
      </c>
      <c r="AH8" s="23">
        <v>0.46063100000000001</v>
      </c>
      <c r="AI8" s="25">
        <v>34</v>
      </c>
      <c r="AJ8" s="26">
        <v>2</v>
      </c>
      <c r="AK8" s="26">
        <v>7</v>
      </c>
      <c r="AL8" s="27">
        <v>15</v>
      </c>
      <c r="AM8" s="27">
        <v>11.5</v>
      </c>
      <c r="AN8" s="27">
        <f>(AL8*AM8)</f>
        <v>172.5</v>
      </c>
      <c r="AO8" s="28">
        <f>(AA8/3.25)*100</f>
        <v>103.84615384615385</v>
      </c>
      <c r="AP8" s="28">
        <f>(AE8/1.16)*100</f>
        <v>90.980138780712309</v>
      </c>
      <c r="AQ8" s="28">
        <f>(Y8/2.79)*100</f>
        <v>91.033898148915966</v>
      </c>
      <c r="AR8" s="28">
        <f>(AG8/3.56)*100</f>
        <v>97.910393258426964</v>
      </c>
      <c r="AS8" s="28">
        <f>(AI8/33.4)*100</f>
        <v>101.79640718562875</v>
      </c>
      <c r="AT8" s="28">
        <f>(AO8*0.3)+(AP8*0.2)+(AQ8*0.2)+(AR8*0.2)+(AS8*0.1)</f>
        <v>97.318372910020088</v>
      </c>
      <c r="AV8" s="30"/>
      <c r="AW8" s="30"/>
      <c r="AX8" s="30"/>
      <c r="AY8" s="29"/>
      <c r="AZ8" s="30"/>
      <c r="BA8" s="30"/>
      <c r="BC8" s="30"/>
      <c r="BD8" s="30"/>
      <c r="BE8" s="30"/>
      <c r="BF8" s="30"/>
      <c r="BG8" s="30"/>
      <c r="BH8" s="29"/>
      <c r="BI8" s="30"/>
      <c r="BJ8" s="30"/>
      <c r="BK8" s="30"/>
      <c r="BL8" s="29"/>
      <c r="BM8" s="30"/>
      <c r="BN8" s="29"/>
      <c r="BO8" s="30"/>
      <c r="BP8" s="30"/>
      <c r="BQ8" s="30"/>
      <c r="BR8" s="30"/>
      <c r="BS8" s="31"/>
      <c r="BT8" s="30"/>
      <c r="BU8" s="30"/>
    </row>
    <row r="9" spans="1:251" s="32" customFormat="1" x14ac:dyDescent="0.2">
      <c r="A9" s="11">
        <v>12</v>
      </c>
      <c r="B9" s="11" t="s">
        <v>46</v>
      </c>
      <c r="C9" s="11" t="s">
        <v>173</v>
      </c>
      <c r="D9" s="32" t="s">
        <v>49</v>
      </c>
      <c r="E9" s="12" t="s">
        <v>78</v>
      </c>
      <c r="F9" s="11" t="s">
        <v>50</v>
      </c>
      <c r="G9" s="13">
        <v>42851</v>
      </c>
      <c r="H9" s="13"/>
      <c r="I9" s="13">
        <v>43041</v>
      </c>
      <c r="J9" s="14">
        <v>43152</v>
      </c>
      <c r="K9" s="15">
        <v>101</v>
      </c>
      <c r="L9" s="16">
        <f t="shared" si="0"/>
        <v>301</v>
      </c>
      <c r="M9" s="16">
        <v>536</v>
      </c>
      <c r="N9" s="16">
        <v>546</v>
      </c>
      <c r="O9" s="16">
        <v>544</v>
      </c>
      <c r="P9" s="17">
        <f t="shared" si="1"/>
        <v>545</v>
      </c>
      <c r="Q9" s="17"/>
      <c r="R9" s="17"/>
      <c r="S9" s="17"/>
      <c r="T9" s="17"/>
      <c r="U9" s="18">
        <v>848</v>
      </c>
      <c r="V9" s="17">
        <v>850</v>
      </c>
      <c r="W9" s="17">
        <v>866</v>
      </c>
      <c r="X9" s="17">
        <f t="shared" si="2"/>
        <v>858</v>
      </c>
      <c r="Y9" s="20">
        <f t="shared" si="3"/>
        <v>2.8504983388704317</v>
      </c>
      <c r="Z9" s="17">
        <f t="shared" si="4"/>
        <v>313</v>
      </c>
      <c r="AA9" s="20">
        <f t="shared" si="5"/>
        <v>2.7946428571428572</v>
      </c>
      <c r="AB9" s="21">
        <v>49</v>
      </c>
      <c r="AC9" s="22">
        <f t="shared" si="6"/>
        <v>5.9119180700000005</v>
      </c>
      <c r="AD9" s="23">
        <v>10.7858</v>
      </c>
      <c r="AE9" s="24">
        <f t="shared" si="7"/>
        <v>1.2719103773584906</v>
      </c>
      <c r="AF9" s="23">
        <v>0.23153000000000001</v>
      </c>
      <c r="AG9" s="23">
        <v>3.5628099999999998</v>
      </c>
      <c r="AH9" s="23">
        <v>0.27426600000000001</v>
      </c>
      <c r="AI9" s="25">
        <v>30</v>
      </c>
      <c r="AJ9" s="26">
        <v>3</v>
      </c>
      <c r="AK9" s="26">
        <v>6</v>
      </c>
      <c r="AL9" s="27">
        <v>14</v>
      </c>
      <c r="AM9" s="27">
        <v>11.5</v>
      </c>
      <c r="AN9" s="27">
        <f t="shared" si="8"/>
        <v>161</v>
      </c>
      <c r="AO9" s="28">
        <f t="shared" si="10"/>
        <v>85.989010989010993</v>
      </c>
      <c r="AP9" s="28">
        <f t="shared" si="11"/>
        <v>109.64744632400783</v>
      </c>
      <c r="AQ9" s="28">
        <f t="shared" si="12"/>
        <v>102.1683992426678</v>
      </c>
      <c r="AR9" s="28">
        <f t="shared" si="13"/>
        <v>100.07893258426965</v>
      </c>
      <c r="AS9" s="28">
        <f t="shared" si="14"/>
        <v>89.820359281437135</v>
      </c>
      <c r="AT9" s="28">
        <f t="shared" si="9"/>
        <v>97.15769485503607</v>
      </c>
      <c r="AU9" s="11"/>
      <c r="AV9" s="30"/>
      <c r="AW9" s="30"/>
      <c r="AX9" s="30"/>
      <c r="AY9" s="29"/>
      <c r="AZ9" s="30"/>
      <c r="BA9" s="30"/>
      <c r="BB9" s="29"/>
      <c r="BC9" s="30"/>
      <c r="BD9" s="30"/>
      <c r="BE9" s="30"/>
      <c r="BF9" s="30"/>
      <c r="BG9" s="30"/>
      <c r="BH9" s="29"/>
      <c r="BI9" s="30"/>
      <c r="BJ9" s="30"/>
      <c r="BK9" s="30"/>
      <c r="BL9" s="29"/>
      <c r="BM9" s="30"/>
      <c r="BN9" s="29"/>
      <c r="BO9" s="30"/>
      <c r="BP9" s="30"/>
      <c r="BQ9" s="30"/>
      <c r="BR9" s="30"/>
      <c r="BS9" s="31"/>
      <c r="BT9" s="30"/>
      <c r="BU9" s="30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</row>
    <row r="10" spans="1:251" x14ac:dyDescent="0.2">
      <c r="A10" s="11">
        <v>61</v>
      </c>
      <c r="B10" s="11" t="s">
        <v>46</v>
      </c>
      <c r="C10" s="11" t="s">
        <v>173</v>
      </c>
      <c r="D10" s="32" t="s">
        <v>61</v>
      </c>
      <c r="E10" s="12" t="s">
        <v>128</v>
      </c>
      <c r="F10" s="11" t="s">
        <v>50</v>
      </c>
      <c r="G10" s="13">
        <v>42870</v>
      </c>
      <c r="I10" s="13">
        <v>43041</v>
      </c>
      <c r="J10" s="14">
        <v>43152</v>
      </c>
      <c r="K10" s="15">
        <v>112</v>
      </c>
      <c r="L10" s="16">
        <f t="shared" si="0"/>
        <v>282</v>
      </c>
      <c r="M10" s="16">
        <v>449</v>
      </c>
      <c r="N10" s="16">
        <v>487</v>
      </c>
      <c r="O10" s="16">
        <v>491</v>
      </c>
      <c r="P10" s="17">
        <f t="shared" si="1"/>
        <v>489</v>
      </c>
      <c r="U10" s="18">
        <v>812</v>
      </c>
      <c r="V10" s="17">
        <v>824</v>
      </c>
      <c r="W10" s="17">
        <v>824</v>
      </c>
      <c r="X10" s="17">
        <f t="shared" si="2"/>
        <v>824</v>
      </c>
      <c r="Y10" s="20">
        <f t="shared" si="3"/>
        <v>2.9219858156028371</v>
      </c>
      <c r="Z10" s="17">
        <f t="shared" si="4"/>
        <v>335</v>
      </c>
      <c r="AA10" s="20">
        <f t="shared" si="5"/>
        <v>2.9910714285714284</v>
      </c>
      <c r="AB10" s="21">
        <v>48</v>
      </c>
      <c r="AC10" s="22">
        <f t="shared" si="6"/>
        <v>5.717034680000002</v>
      </c>
      <c r="AD10" s="23">
        <v>9.5750499999999992</v>
      </c>
      <c r="AE10" s="24">
        <f t="shared" si="7"/>
        <v>1.1791933497536944</v>
      </c>
      <c r="AF10" s="23">
        <v>0.24716299999999999</v>
      </c>
      <c r="AG10" s="23">
        <v>3.2988</v>
      </c>
      <c r="AH10" s="23">
        <v>0.23117799999999999</v>
      </c>
      <c r="AI10" s="25">
        <v>30</v>
      </c>
      <c r="AJ10" s="26">
        <v>2</v>
      </c>
      <c r="AK10" s="26">
        <v>6</v>
      </c>
      <c r="AL10" s="27">
        <v>14</v>
      </c>
      <c r="AM10" s="27">
        <v>11</v>
      </c>
      <c r="AN10" s="27">
        <f t="shared" si="8"/>
        <v>154</v>
      </c>
      <c r="AO10" s="28">
        <f t="shared" si="10"/>
        <v>92.032967032967022</v>
      </c>
      <c r="AP10" s="28">
        <f t="shared" si="11"/>
        <v>101.65459911669781</v>
      </c>
      <c r="AQ10" s="28">
        <f t="shared" si="12"/>
        <v>104.73067439436691</v>
      </c>
      <c r="AR10" s="28">
        <f t="shared" si="13"/>
        <v>92.662921348314612</v>
      </c>
      <c r="AS10" s="28">
        <f t="shared" si="14"/>
        <v>89.820359281437135</v>
      </c>
      <c r="AT10" s="28">
        <f t="shared" si="9"/>
        <v>96.401565009909689</v>
      </c>
      <c r="AV10" s="30"/>
      <c r="AW10" s="30"/>
      <c r="AX10" s="30"/>
      <c r="AY10" s="29"/>
      <c r="AZ10" s="30"/>
      <c r="BA10" s="30"/>
      <c r="BB10" s="29"/>
      <c r="BC10" s="30"/>
      <c r="BD10" s="30"/>
      <c r="BE10" s="30"/>
      <c r="BF10" s="30"/>
      <c r="BG10" s="30"/>
      <c r="BH10" s="29"/>
      <c r="BI10" s="30"/>
      <c r="BJ10" s="30"/>
      <c r="BK10" s="30"/>
      <c r="BL10" s="29"/>
      <c r="BM10" s="30"/>
      <c r="BN10" s="29"/>
      <c r="BO10" s="30"/>
      <c r="BP10" s="30"/>
      <c r="BQ10" s="30"/>
      <c r="BR10" s="30"/>
      <c r="BS10" s="31"/>
      <c r="BT10" s="30"/>
      <c r="BU10" s="30"/>
    </row>
    <row r="11" spans="1:251" x14ac:dyDescent="0.2">
      <c r="A11" s="11">
        <v>17</v>
      </c>
      <c r="B11" s="11" t="s">
        <v>46</v>
      </c>
      <c r="C11" s="11" t="s">
        <v>173</v>
      </c>
      <c r="D11" s="32" t="s">
        <v>49</v>
      </c>
      <c r="E11" s="12" t="s">
        <v>83</v>
      </c>
      <c r="F11" s="11" t="s">
        <v>50</v>
      </c>
      <c r="G11" s="13">
        <v>42853</v>
      </c>
      <c r="I11" s="13">
        <v>43041</v>
      </c>
      <c r="J11" s="14">
        <v>43152</v>
      </c>
      <c r="K11" s="15">
        <v>101</v>
      </c>
      <c r="L11" s="16">
        <f t="shared" si="0"/>
        <v>299</v>
      </c>
      <c r="M11" s="16">
        <v>544</v>
      </c>
      <c r="N11" s="16">
        <v>542</v>
      </c>
      <c r="O11" s="16">
        <v>544</v>
      </c>
      <c r="P11" s="17">
        <f t="shared" si="1"/>
        <v>543</v>
      </c>
      <c r="U11" s="18">
        <v>840</v>
      </c>
      <c r="V11" s="17">
        <v>836</v>
      </c>
      <c r="W11" s="19">
        <v>840</v>
      </c>
      <c r="X11" s="17">
        <f t="shared" si="2"/>
        <v>838</v>
      </c>
      <c r="Y11" s="20">
        <f t="shared" si="3"/>
        <v>2.8026755852842808</v>
      </c>
      <c r="Z11" s="17">
        <f t="shared" si="4"/>
        <v>295</v>
      </c>
      <c r="AA11" s="20">
        <f t="shared" si="5"/>
        <v>2.6339285714285716</v>
      </c>
      <c r="AB11" s="21">
        <v>50</v>
      </c>
      <c r="AC11" s="22">
        <f t="shared" si="6"/>
        <v>6.4408674700000006</v>
      </c>
      <c r="AD11" s="23">
        <v>10.5227</v>
      </c>
      <c r="AE11" s="24">
        <f t="shared" si="7"/>
        <v>1.2527023809523812</v>
      </c>
      <c r="AF11" s="23">
        <v>0.28571400000000002</v>
      </c>
      <c r="AG11" s="23">
        <v>3.6148699999999998</v>
      </c>
      <c r="AH11" s="23">
        <v>0.31933099999999998</v>
      </c>
      <c r="AI11" s="25">
        <v>29</v>
      </c>
      <c r="AJ11" s="26">
        <v>3</v>
      </c>
      <c r="AK11" s="26">
        <v>6</v>
      </c>
      <c r="AL11" s="27">
        <v>15.5</v>
      </c>
      <c r="AM11" s="27">
        <v>12.5</v>
      </c>
      <c r="AN11" s="27">
        <f t="shared" si="8"/>
        <v>193.75</v>
      </c>
      <c r="AO11" s="28">
        <f t="shared" si="10"/>
        <v>81.043956043956044</v>
      </c>
      <c r="AP11" s="28">
        <f t="shared" si="11"/>
        <v>107.99158456486045</v>
      </c>
      <c r="AQ11" s="28">
        <f t="shared" si="12"/>
        <v>100.45432205320002</v>
      </c>
      <c r="AR11" s="28">
        <f t="shared" si="13"/>
        <v>101.54129213483145</v>
      </c>
      <c r="AS11" s="28">
        <f t="shared" si="14"/>
        <v>86.826347305389234</v>
      </c>
      <c r="AT11" s="28">
        <f t="shared" si="9"/>
        <v>94.993261294304119</v>
      </c>
      <c r="AV11" s="30"/>
      <c r="AW11" s="30"/>
      <c r="AX11" s="30"/>
      <c r="AY11" s="29"/>
      <c r="AZ11" s="30"/>
      <c r="BA11" s="30"/>
      <c r="BC11" s="30"/>
      <c r="BD11" s="30"/>
      <c r="BE11" s="30"/>
      <c r="BF11" s="30"/>
      <c r="BG11" s="30"/>
      <c r="BH11" s="29"/>
      <c r="BI11" s="30"/>
      <c r="BJ11" s="30"/>
      <c r="BK11" s="30"/>
      <c r="BL11" s="29"/>
      <c r="BM11" s="30"/>
      <c r="BN11" s="29"/>
      <c r="BO11" s="30"/>
      <c r="BP11" s="30"/>
      <c r="BQ11" s="30"/>
      <c r="BR11" s="30"/>
      <c r="BS11" s="31"/>
      <c r="BT11" s="30"/>
      <c r="BU11" s="30"/>
    </row>
    <row r="12" spans="1:251" s="35" customFormat="1" ht="15.75" x14ac:dyDescent="0.25">
      <c r="D12" s="49" t="s">
        <v>182</v>
      </c>
      <c r="E12" s="50"/>
      <c r="G12" s="51"/>
      <c r="H12" s="51"/>
      <c r="I12" s="51"/>
      <c r="J12" s="52"/>
      <c r="K12" s="53"/>
      <c r="L12" s="54"/>
      <c r="M12" s="54"/>
      <c r="N12" s="54"/>
      <c r="O12" s="54"/>
      <c r="P12" s="59"/>
      <c r="Q12" s="59"/>
      <c r="R12" s="59"/>
      <c r="S12" s="59"/>
      <c r="T12" s="59"/>
      <c r="U12" s="67"/>
      <c r="V12" s="59"/>
      <c r="W12" s="68"/>
      <c r="X12" s="59"/>
      <c r="Y12" s="65">
        <f>AVERAGE(Y2:Y11)</f>
        <v>2.7895243618690979</v>
      </c>
      <c r="Z12" s="59"/>
      <c r="AA12" s="65">
        <f>AVERAGE(AA2:AA11)</f>
        <v>3.2491071428571425</v>
      </c>
      <c r="AB12" s="69"/>
      <c r="AC12" s="61"/>
      <c r="AD12" s="65">
        <f>AVERAGE(AD2:AD11)</f>
        <v>10.658393999999999</v>
      </c>
      <c r="AE12" s="65">
        <f>AVERAGE(AE2:AE11)</f>
        <v>1.1592113786117983</v>
      </c>
      <c r="AF12" s="66"/>
      <c r="AG12" s="65">
        <f>AVERAGE(AG2:AG11)</f>
        <v>3.5635859999999995</v>
      </c>
      <c r="AH12" s="66"/>
      <c r="AI12" s="65">
        <f>AVERAGE(AI2:AI11)</f>
        <v>33.4</v>
      </c>
      <c r="AJ12" s="70"/>
      <c r="AK12" s="70"/>
      <c r="AL12" s="71"/>
      <c r="AM12" s="71"/>
      <c r="AN12" s="71"/>
      <c r="AO12" s="65">
        <f>AVERAGE(AO2:AO11)</f>
        <v>99.972527472527474</v>
      </c>
      <c r="AP12" s="65">
        <f t="shared" ref="AP12:AT12" si="15">AVERAGE(AP2:AP11)</f>
        <v>99.932015397568819</v>
      </c>
      <c r="AQ12" s="65">
        <f t="shared" si="15"/>
        <v>99.982952038318928</v>
      </c>
      <c r="AR12" s="65">
        <f t="shared" si="15"/>
        <v>100.10073033707866</v>
      </c>
      <c r="AS12" s="65">
        <f t="shared" si="15"/>
        <v>100.00000000000001</v>
      </c>
      <c r="AT12" s="65">
        <f t="shared" si="15"/>
        <v>99.994897796351523</v>
      </c>
      <c r="AV12" s="73"/>
      <c r="AW12" s="73"/>
      <c r="AX12" s="73"/>
      <c r="AY12" s="72"/>
      <c r="AZ12" s="73"/>
      <c r="BA12" s="73"/>
      <c r="BB12" s="54"/>
      <c r="BC12" s="73"/>
      <c r="BD12" s="73"/>
      <c r="BE12" s="73"/>
      <c r="BF12" s="73"/>
      <c r="BG12" s="73"/>
      <c r="BH12" s="72"/>
      <c r="BI12" s="73"/>
      <c r="BJ12" s="73"/>
      <c r="BK12" s="73"/>
      <c r="BL12" s="72"/>
      <c r="BM12" s="73"/>
      <c r="BN12" s="72"/>
      <c r="BO12" s="73"/>
      <c r="BP12" s="73"/>
      <c r="BQ12" s="73"/>
      <c r="BR12" s="73"/>
      <c r="BS12" s="74"/>
      <c r="BT12" s="73"/>
      <c r="BU12" s="73"/>
    </row>
    <row r="13" spans="1:251" x14ac:dyDescent="0.2">
      <c r="D13" s="32"/>
      <c r="J13" s="14"/>
      <c r="M13" s="16"/>
      <c r="U13" s="18"/>
      <c r="W13" s="19"/>
      <c r="AD13" s="23"/>
      <c r="AF13" s="23"/>
      <c r="AG13" s="23"/>
      <c r="AH13" s="23"/>
      <c r="AV13" s="30"/>
      <c r="AW13" s="30"/>
      <c r="AX13" s="30"/>
      <c r="AY13" s="29"/>
      <c r="AZ13" s="30"/>
      <c r="BA13" s="30"/>
      <c r="BC13" s="30"/>
      <c r="BD13" s="30"/>
      <c r="BE13" s="30"/>
      <c r="BF13" s="30"/>
      <c r="BG13" s="30"/>
      <c r="BH13" s="29"/>
      <c r="BI13" s="30"/>
      <c r="BJ13" s="30"/>
      <c r="BK13" s="30"/>
      <c r="BL13" s="29"/>
      <c r="BM13" s="30"/>
      <c r="BN13" s="29"/>
      <c r="BO13" s="30"/>
      <c r="BP13" s="30"/>
      <c r="BQ13" s="30"/>
      <c r="BR13" s="30"/>
      <c r="BS13" s="31"/>
      <c r="BT13" s="30"/>
      <c r="BU13" s="30"/>
    </row>
    <row r="14" spans="1:251" x14ac:dyDescent="0.2">
      <c r="A14" s="16">
        <v>80</v>
      </c>
      <c r="B14" s="11" t="s">
        <v>46</v>
      </c>
      <c r="C14" s="11" t="s">
        <v>173</v>
      </c>
      <c r="D14" s="11" t="s">
        <v>152</v>
      </c>
      <c r="E14" s="12" t="s">
        <v>153</v>
      </c>
      <c r="F14" s="11" t="s">
        <v>54</v>
      </c>
      <c r="G14" s="13">
        <v>42812</v>
      </c>
      <c r="I14" s="13">
        <v>43041</v>
      </c>
      <c r="J14" s="14">
        <v>43152</v>
      </c>
      <c r="K14" s="15">
        <v>118</v>
      </c>
      <c r="L14" s="16">
        <f t="shared" si="0"/>
        <v>340</v>
      </c>
      <c r="M14" s="16">
        <v>534</v>
      </c>
      <c r="N14" s="16">
        <v>568</v>
      </c>
      <c r="O14" s="16">
        <v>574</v>
      </c>
      <c r="P14" s="17">
        <f t="shared" si="1"/>
        <v>571</v>
      </c>
      <c r="Q14" s="15"/>
      <c r="R14" s="15"/>
      <c r="S14" s="15"/>
      <c r="T14" s="15"/>
      <c r="U14" s="18">
        <v>916</v>
      </c>
      <c r="V14" s="15">
        <v>930</v>
      </c>
      <c r="W14" s="15">
        <v>928</v>
      </c>
      <c r="X14" s="17">
        <f t="shared" si="2"/>
        <v>929</v>
      </c>
      <c r="Y14" s="20">
        <f t="shared" si="3"/>
        <v>2.7323529411764707</v>
      </c>
      <c r="Z14" s="17">
        <f t="shared" si="4"/>
        <v>358</v>
      </c>
      <c r="AA14" s="20">
        <f t="shared" si="5"/>
        <v>3.1964285714285716</v>
      </c>
      <c r="AB14" s="22">
        <v>53</v>
      </c>
      <c r="AC14" s="22">
        <f t="shared" si="6"/>
        <v>7.3320000000000016</v>
      </c>
      <c r="AD14" s="23">
        <v>11.028700000000001</v>
      </c>
      <c r="AE14" s="24">
        <f t="shared" si="7"/>
        <v>1.2040065502183406</v>
      </c>
      <c r="AF14" s="23">
        <v>0.238264</v>
      </c>
      <c r="AG14" s="23">
        <v>3.8841800000000002</v>
      </c>
      <c r="AH14" s="23">
        <v>0.28404600000000002</v>
      </c>
      <c r="AI14" s="25">
        <v>32.5</v>
      </c>
      <c r="AJ14" s="16">
        <v>2</v>
      </c>
      <c r="AK14" s="16">
        <v>6</v>
      </c>
      <c r="AL14" s="25">
        <v>13</v>
      </c>
      <c r="AM14" s="25">
        <v>10.5</v>
      </c>
      <c r="AN14" s="27">
        <f t="shared" si="8"/>
        <v>136.5</v>
      </c>
      <c r="AO14" s="28">
        <f>(AA14/3.09)*100</f>
        <v>103.44429033749422</v>
      </c>
      <c r="AP14" s="28">
        <f>(AE14/1.13)*100</f>
        <v>106.54925223171156</v>
      </c>
      <c r="AQ14" s="28">
        <f>(Y14/2.49)*100</f>
        <v>109.73304984644459</v>
      </c>
      <c r="AR14" s="28">
        <f>(AG14/3.93)*100</f>
        <v>98.834096692111956</v>
      </c>
      <c r="AS14" s="28">
        <f>(AI14/30.83)*100</f>
        <v>105.4168018164126</v>
      </c>
      <c r="AT14" s="28">
        <f t="shared" si="9"/>
        <v>104.59824703694315</v>
      </c>
      <c r="AU14" s="11" t="s">
        <v>198</v>
      </c>
    </row>
    <row r="15" spans="1:251" ht="15.75" x14ac:dyDescent="0.25">
      <c r="A15" s="11">
        <v>81</v>
      </c>
      <c r="B15" s="11" t="s">
        <v>46</v>
      </c>
      <c r="C15" s="11" t="s">
        <v>173</v>
      </c>
      <c r="D15" s="11" t="s">
        <v>152</v>
      </c>
      <c r="E15" s="12" t="s">
        <v>134</v>
      </c>
      <c r="F15" s="11" t="s">
        <v>54</v>
      </c>
      <c r="G15" s="13">
        <v>42770</v>
      </c>
      <c r="I15" s="13">
        <v>43041</v>
      </c>
      <c r="J15" s="14">
        <v>43152</v>
      </c>
      <c r="K15" s="15">
        <v>118</v>
      </c>
      <c r="L15" s="16">
        <f t="shared" si="0"/>
        <v>382</v>
      </c>
      <c r="M15" s="16">
        <v>536</v>
      </c>
      <c r="N15" s="16">
        <v>598</v>
      </c>
      <c r="O15" s="16">
        <v>608</v>
      </c>
      <c r="P15" s="17">
        <f t="shared" si="1"/>
        <v>603</v>
      </c>
      <c r="U15" s="18">
        <v>948</v>
      </c>
      <c r="V15" s="17">
        <v>944</v>
      </c>
      <c r="W15" s="19">
        <v>954</v>
      </c>
      <c r="X15" s="17">
        <f t="shared" si="2"/>
        <v>949</v>
      </c>
      <c r="Y15" s="20">
        <f t="shared" si="3"/>
        <v>2.4842931937172774</v>
      </c>
      <c r="Z15" s="17">
        <f t="shared" si="4"/>
        <v>346</v>
      </c>
      <c r="AA15" s="20">
        <f t="shared" si="5"/>
        <v>3.0892857142857144</v>
      </c>
      <c r="AB15" s="21">
        <v>52</v>
      </c>
      <c r="AC15" s="22">
        <f t="shared" si="6"/>
        <v>6.2823978800000013</v>
      </c>
      <c r="AD15" s="23">
        <v>10.3093</v>
      </c>
      <c r="AE15" s="24">
        <f t="shared" si="7"/>
        <v>1.0874789029535865</v>
      </c>
      <c r="AF15" s="23">
        <v>0.31213000000000002</v>
      </c>
      <c r="AG15" s="23">
        <v>3.8804099999999999</v>
      </c>
      <c r="AH15" s="23">
        <v>0.46179900000000002</v>
      </c>
      <c r="AI15" s="25">
        <v>31</v>
      </c>
      <c r="AJ15" s="26">
        <v>3</v>
      </c>
      <c r="AK15" s="26">
        <v>6</v>
      </c>
      <c r="AL15" s="27">
        <v>14</v>
      </c>
      <c r="AM15" s="27">
        <v>10</v>
      </c>
      <c r="AN15" s="27">
        <f t="shared" si="8"/>
        <v>140</v>
      </c>
      <c r="AO15" s="28">
        <f t="shared" ref="AO15:AO16" si="16">(AA15/3.09)*100</f>
        <v>99.976883957466484</v>
      </c>
      <c r="AP15" s="28">
        <f t="shared" ref="AP15:AP16" si="17">(AE15/1.13)*100</f>
        <v>96.237071057839515</v>
      </c>
      <c r="AQ15" s="28">
        <f t="shared" ref="AQ15:AQ16" si="18">(Y15/2.49)*100</f>
        <v>99.770810992661737</v>
      </c>
      <c r="AR15" s="28">
        <f t="shared" ref="AR15:AR16" si="19">(AG15/3.93)*100</f>
        <v>98.738167938931284</v>
      </c>
      <c r="AS15" s="28">
        <f t="shared" ref="AS15:AS16" si="20">(AI15/30.83)*100</f>
        <v>100.55141096334739</v>
      </c>
      <c r="AT15" s="28">
        <f t="shared" si="9"/>
        <v>98.997416281461184</v>
      </c>
      <c r="AU15" s="35"/>
      <c r="AV15" s="30"/>
      <c r="AW15" s="30"/>
      <c r="AX15" s="30"/>
      <c r="AY15" s="29"/>
      <c r="AZ15" s="30"/>
      <c r="BA15" s="30"/>
      <c r="BC15" s="30"/>
      <c r="BD15" s="30"/>
      <c r="BE15" s="30"/>
      <c r="BF15" s="30"/>
      <c r="BG15" s="30"/>
      <c r="BH15" s="29"/>
      <c r="BI15" s="30"/>
      <c r="BJ15" s="30"/>
      <c r="BK15" s="30"/>
      <c r="BL15" s="29"/>
      <c r="BM15" s="30"/>
      <c r="BN15" s="29"/>
      <c r="BO15" s="30"/>
      <c r="BP15" s="30"/>
      <c r="BQ15" s="30"/>
      <c r="BR15" s="30"/>
      <c r="BS15" s="31"/>
      <c r="BT15" s="30"/>
      <c r="BU15" s="30"/>
    </row>
    <row r="16" spans="1:251" x14ac:dyDescent="0.2">
      <c r="A16" s="16">
        <v>79</v>
      </c>
      <c r="B16" s="11" t="s">
        <v>46</v>
      </c>
      <c r="C16" s="11" t="s">
        <v>173</v>
      </c>
      <c r="D16" s="11" t="s">
        <v>152</v>
      </c>
      <c r="E16" s="12" t="s">
        <v>80</v>
      </c>
      <c r="F16" s="11" t="s">
        <v>54</v>
      </c>
      <c r="G16" s="13">
        <v>42758</v>
      </c>
      <c r="I16" s="13">
        <v>43041</v>
      </c>
      <c r="J16" s="14">
        <v>43152</v>
      </c>
      <c r="K16" s="15">
        <v>118</v>
      </c>
      <c r="L16" s="16">
        <f t="shared" si="0"/>
        <v>394</v>
      </c>
      <c r="M16" s="16">
        <v>457</v>
      </c>
      <c r="N16" s="16">
        <v>554</v>
      </c>
      <c r="O16" s="16">
        <v>546</v>
      </c>
      <c r="P16" s="17">
        <f t="shared" si="1"/>
        <v>550</v>
      </c>
      <c r="U16" s="18">
        <v>898</v>
      </c>
      <c r="V16" s="17">
        <v>882</v>
      </c>
      <c r="W16" s="17">
        <v>884</v>
      </c>
      <c r="X16" s="17">
        <f t="shared" si="2"/>
        <v>883</v>
      </c>
      <c r="Y16" s="20">
        <f t="shared" si="3"/>
        <v>2.2411167512690353</v>
      </c>
      <c r="Z16" s="17">
        <f t="shared" si="4"/>
        <v>333</v>
      </c>
      <c r="AA16" s="20">
        <f t="shared" si="5"/>
        <v>2.9732142857142856</v>
      </c>
      <c r="AB16" s="21">
        <v>51</v>
      </c>
      <c r="AC16" s="22">
        <f t="shared" si="6"/>
        <v>5.6367845200000009</v>
      </c>
      <c r="AD16" s="23">
        <v>9.7431900000000002</v>
      </c>
      <c r="AE16" s="24">
        <f t="shared" si="7"/>
        <v>1.0849877505567929</v>
      </c>
      <c r="AF16" s="23">
        <v>0.14579500000000001</v>
      </c>
      <c r="AG16" s="23">
        <v>4.0181300000000002</v>
      </c>
      <c r="AH16" s="23">
        <v>0.336978</v>
      </c>
      <c r="AI16" s="25">
        <v>29</v>
      </c>
      <c r="AJ16" s="26">
        <v>2</v>
      </c>
      <c r="AK16" s="26">
        <v>5</v>
      </c>
      <c r="AL16" s="27">
        <v>15</v>
      </c>
      <c r="AM16" s="27">
        <v>11</v>
      </c>
      <c r="AN16" s="27">
        <f t="shared" si="8"/>
        <v>165</v>
      </c>
      <c r="AO16" s="28">
        <f t="shared" si="16"/>
        <v>96.220527045769771</v>
      </c>
      <c r="AP16" s="28">
        <f t="shared" si="17"/>
        <v>96.016615093521509</v>
      </c>
      <c r="AQ16" s="28">
        <f t="shared" si="18"/>
        <v>90.004688805985339</v>
      </c>
      <c r="AR16" s="28">
        <f t="shared" si="19"/>
        <v>102.24249363867686</v>
      </c>
      <c r="AS16" s="28">
        <f t="shared" si="20"/>
        <v>94.064223159260465</v>
      </c>
      <c r="AT16" s="28">
        <f t="shared" si="9"/>
        <v>95.925339937293714</v>
      </c>
    </row>
    <row r="17" spans="1:251" s="35" customFormat="1" ht="15.75" x14ac:dyDescent="0.25">
      <c r="A17" s="54"/>
      <c r="D17" s="35" t="s">
        <v>183</v>
      </c>
      <c r="E17" s="50"/>
      <c r="G17" s="51"/>
      <c r="H17" s="51"/>
      <c r="I17" s="51"/>
      <c r="J17" s="52"/>
      <c r="K17" s="53"/>
      <c r="L17" s="54"/>
      <c r="M17" s="54"/>
      <c r="N17" s="54"/>
      <c r="O17" s="54"/>
      <c r="P17" s="59"/>
      <c r="Q17" s="59"/>
      <c r="R17" s="59"/>
      <c r="S17" s="59"/>
      <c r="T17" s="59"/>
      <c r="U17" s="67"/>
      <c r="V17" s="59"/>
      <c r="W17" s="59"/>
      <c r="X17" s="59"/>
      <c r="Y17" s="65">
        <f>AVERAGE(Y14:Y16)</f>
        <v>2.4859209620542613</v>
      </c>
      <c r="Z17" s="59"/>
      <c r="AA17" s="65">
        <f>AVERAGE(AA14:AA16)</f>
        <v>3.0863095238095242</v>
      </c>
      <c r="AB17" s="69"/>
      <c r="AC17" s="61"/>
      <c r="AD17" s="65">
        <f>AVERAGE(AD14:AD16)</f>
        <v>10.360396666666666</v>
      </c>
      <c r="AE17" s="65">
        <f>AVERAGE(AE14:AE16)</f>
        <v>1.1254910679095733</v>
      </c>
      <c r="AF17" s="66"/>
      <c r="AG17" s="65">
        <f>AVERAGE(AG14:AG16)</f>
        <v>3.9275733333333336</v>
      </c>
      <c r="AH17" s="66"/>
      <c r="AI17" s="65">
        <f>AVERAGE(AI14:AI16)</f>
        <v>30.833333333333332</v>
      </c>
      <c r="AJ17" s="70"/>
      <c r="AK17" s="70"/>
      <c r="AL17" s="71"/>
      <c r="AM17" s="71"/>
      <c r="AN17" s="71"/>
      <c r="AO17" s="65">
        <f t="shared" ref="AO17:AT17" si="21">AVERAGE(AO14:AO16)</f>
        <v>99.880567113576831</v>
      </c>
      <c r="AP17" s="65">
        <f t="shared" si="21"/>
        <v>99.60097946102421</v>
      </c>
      <c r="AQ17" s="65">
        <f t="shared" si="21"/>
        <v>99.836183215030545</v>
      </c>
      <c r="AR17" s="65">
        <f t="shared" si="21"/>
        <v>99.938252756573377</v>
      </c>
      <c r="AS17" s="65">
        <f t="shared" si="21"/>
        <v>100.01081197967348</v>
      </c>
      <c r="AT17" s="65">
        <f t="shared" si="21"/>
        <v>99.840334418566002</v>
      </c>
      <c r="AX17" s="56"/>
      <c r="AY17" s="54"/>
      <c r="AZ17" s="56"/>
      <c r="BA17" s="56"/>
      <c r="BB17" s="54"/>
      <c r="BC17" s="54"/>
      <c r="BG17" s="56"/>
      <c r="BH17" s="54"/>
      <c r="BI17" s="56"/>
      <c r="BJ17" s="56"/>
      <c r="BO17" s="56"/>
      <c r="BS17" s="55"/>
      <c r="BT17" s="56"/>
      <c r="BU17" s="56"/>
    </row>
    <row r="18" spans="1:251" x14ac:dyDescent="0.2">
      <c r="A18" s="16"/>
      <c r="J18" s="14"/>
      <c r="M18" s="16"/>
      <c r="U18" s="18"/>
      <c r="AD18" s="23"/>
      <c r="AF18" s="23"/>
      <c r="AG18" s="23"/>
      <c r="AH18" s="23"/>
    </row>
    <row r="19" spans="1:251" x14ac:dyDescent="0.2">
      <c r="A19" s="16">
        <v>42</v>
      </c>
      <c r="B19" s="11" t="s">
        <v>46</v>
      </c>
      <c r="C19" s="11" t="s">
        <v>173</v>
      </c>
      <c r="D19" s="11" t="s">
        <v>60</v>
      </c>
      <c r="E19" s="33" t="s">
        <v>105</v>
      </c>
      <c r="F19" s="11" t="s">
        <v>51</v>
      </c>
      <c r="G19" s="13">
        <v>42764</v>
      </c>
      <c r="I19" s="13">
        <v>43041</v>
      </c>
      <c r="J19" s="14">
        <v>43152</v>
      </c>
      <c r="K19" s="15">
        <v>107</v>
      </c>
      <c r="L19" s="16">
        <f t="shared" si="0"/>
        <v>388</v>
      </c>
      <c r="M19" s="16">
        <v>696</v>
      </c>
      <c r="N19" s="16">
        <v>720</v>
      </c>
      <c r="O19" s="16">
        <v>722</v>
      </c>
      <c r="P19" s="17">
        <f t="shared" si="1"/>
        <v>721</v>
      </c>
      <c r="U19" s="18">
        <v>1095</v>
      </c>
      <c r="V19" s="17">
        <v>1110</v>
      </c>
      <c r="W19" s="17">
        <v>1115</v>
      </c>
      <c r="X19" s="17">
        <f t="shared" si="2"/>
        <v>1112.5</v>
      </c>
      <c r="Y19" s="20">
        <f t="shared" si="3"/>
        <v>2.8672680412371134</v>
      </c>
      <c r="Z19" s="17">
        <f t="shared" si="4"/>
        <v>391.5</v>
      </c>
      <c r="AA19" s="20">
        <f t="shared" si="5"/>
        <v>3.4955357142857144</v>
      </c>
      <c r="AB19" s="21">
        <v>53</v>
      </c>
      <c r="AC19" s="22">
        <f t="shared" si="6"/>
        <v>6.7101292800000012</v>
      </c>
      <c r="AD19" s="23">
        <v>13.110200000000001</v>
      </c>
      <c r="AE19" s="24">
        <f t="shared" si="7"/>
        <v>1.1972785388127853</v>
      </c>
      <c r="AF19" s="23">
        <v>0.340005</v>
      </c>
      <c r="AG19" s="23">
        <v>4.7968400000000004</v>
      </c>
      <c r="AH19" s="23">
        <v>0.336982</v>
      </c>
      <c r="AI19" s="25">
        <v>36</v>
      </c>
      <c r="AJ19" s="26">
        <v>3</v>
      </c>
      <c r="AK19" s="26">
        <v>7</v>
      </c>
      <c r="AL19" s="27">
        <v>14.5</v>
      </c>
      <c r="AM19" s="27">
        <v>12</v>
      </c>
      <c r="AN19" s="27">
        <f t="shared" si="8"/>
        <v>174</v>
      </c>
      <c r="AO19" s="28">
        <f>(AA19/3.62)*100</f>
        <v>96.561760063141278</v>
      </c>
      <c r="AP19" s="28">
        <f>(AE19/1.1)*100</f>
        <v>108.84350352843501</v>
      </c>
      <c r="AQ19" s="28">
        <f>(Y19/3.03)*100</f>
        <v>94.629308291653913</v>
      </c>
      <c r="AR19" s="28">
        <f>(AG19/3.56)*100</f>
        <v>134.7426966292135</v>
      </c>
      <c r="AS19" s="28">
        <f>(AI19/35.6)*100</f>
        <v>101.12359550561798</v>
      </c>
      <c r="AT19" s="28">
        <f t="shared" si="9"/>
        <v>106.72398925936469</v>
      </c>
      <c r="AU19" s="11" t="s">
        <v>199</v>
      </c>
    </row>
    <row r="20" spans="1:251" x14ac:dyDescent="0.2">
      <c r="A20" s="11">
        <v>68</v>
      </c>
      <c r="B20" s="11" t="s">
        <v>46</v>
      </c>
      <c r="C20" s="11" t="s">
        <v>173</v>
      </c>
      <c r="D20" s="32" t="s">
        <v>66</v>
      </c>
      <c r="E20" s="12" t="s">
        <v>136</v>
      </c>
      <c r="F20" s="11" t="s">
        <v>51</v>
      </c>
      <c r="G20" s="13">
        <v>42745</v>
      </c>
      <c r="I20" s="13">
        <v>43041</v>
      </c>
      <c r="J20" s="14">
        <v>43152</v>
      </c>
      <c r="K20" s="15">
        <v>114</v>
      </c>
      <c r="L20" s="16">
        <f t="shared" si="0"/>
        <v>407</v>
      </c>
      <c r="M20" s="16">
        <v>776</v>
      </c>
      <c r="N20" s="16">
        <v>818</v>
      </c>
      <c r="O20" s="16">
        <v>830</v>
      </c>
      <c r="P20" s="17">
        <f t="shared" si="1"/>
        <v>824</v>
      </c>
      <c r="U20" s="18">
        <v>1280</v>
      </c>
      <c r="V20" s="17">
        <v>1285</v>
      </c>
      <c r="W20" s="17">
        <v>1285</v>
      </c>
      <c r="X20" s="17">
        <f t="shared" si="2"/>
        <v>1285</v>
      </c>
      <c r="Y20" s="20">
        <f t="shared" si="3"/>
        <v>3.1572481572481572</v>
      </c>
      <c r="Z20" s="17">
        <f t="shared" si="4"/>
        <v>461</v>
      </c>
      <c r="AA20" s="20">
        <f t="shared" si="5"/>
        <v>4.1160714285714288</v>
      </c>
      <c r="AB20" s="21">
        <v>55</v>
      </c>
      <c r="AC20" s="22">
        <f t="shared" si="6"/>
        <v>7.4915450300000002</v>
      </c>
      <c r="AD20" s="23">
        <v>13.6623</v>
      </c>
      <c r="AE20" s="24">
        <f t="shared" si="7"/>
        <v>1.0673671875000001</v>
      </c>
      <c r="AF20" s="23">
        <v>0.247722</v>
      </c>
      <c r="AG20" s="23">
        <v>3.2360000000000002</v>
      </c>
      <c r="AH20" s="23">
        <v>0.33619399999999999</v>
      </c>
      <c r="AI20" s="25">
        <v>42</v>
      </c>
      <c r="AJ20" s="26">
        <v>4</v>
      </c>
      <c r="AK20" s="26">
        <v>8</v>
      </c>
      <c r="AL20" s="27">
        <v>15.5</v>
      </c>
      <c r="AM20" s="27">
        <v>10</v>
      </c>
      <c r="AN20" s="27">
        <f t="shared" si="8"/>
        <v>155</v>
      </c>
      <c r="AO20" s="28">
        <f t="shared" ref="AO20:AO33" si="22">(AA20/3.62)*100</f>
        <v>113.70363062352014</v>
      </c>
      <c r="AP20" s="28">
        <f t="shared" ref="AP20:AP33" si="23">(AE20/1.1)*100</f>
        <v>97.033380681818187</v>
      </c>
      <c r="AQ20" s="28">
        <f t="shared" ref="AQ20:AQ33" si="24">(Y20/3.03)*100</f>
        <v>104.19960915010419</v>
      </c>
      <c r="AR20" s="28">
        <f t="shared" ref="AR20:AR33" si="25">(AG20/3.56)*100</f>
        <v>90.898876404494388</v>
      </c>
      <c r="AS20" s="28">
        <f t="shared" ref="AS20:AS33" si="26">(AI20/35.6)*100</f>
        <v>117.97752808988764</v>
      </c>
      <c r="AT20" s="28">
        <f t="shared" si="9"/>
        <v>104.33521524332816</v>
      </c>
      <c r="AU20" s="11" t="s">
        <v>200</v>
      </c>
    </row>
    <row r="21" spans="1:251" x14ac:dyDescent="0.2">
      <c r="A21" s="16">
        <v>48</v>
      </c>
      <c r="B21" s="11" t="s">
        <v>46</v>
      </c>
      <c r="C21" s="11" t="s">
        <v>173</v>
      </c>
      <c r="D21" s="11" t="s">
        <v>110</v>
      </c>
      <c r="E21" s="12" t="s">
        <v>113</v>
      </c>
      <c r="F21" s="11" t="s">
        <v>51</v>
      </c>
      <c r="G21" s="13">
        <v>42802</v>
      </c>
      <c r="I21" s="13">
        <v>43041</v>
      </c>
      <c r="J21" s="14">
        <v>43152</v>
      </c>
      <c r="K21" s="15">
        <v>109</v>
      </c>
      <c r="L21" s="16">
        <f t="shared" si="0"/>
        <v>350</v>
      </c>
      <c r="M21" s="16">
        <v>804</v>
      </c>
      <c r="N21" s="16">
        <v>814</v>
      </c>
      <c r="O21" s="16">
        <v>832</v>
      </c>
      <c r="P21" s="17">
        <f t="shared" si="1"/>
        <v>823</v>
      </c>
      <c r="Q21" s="15"/>
      <c r="R21" s="15"/>
      <c r="S21" s="15"/>
      <c r="T21" s="15"/>
      <c r="U21" s="18">
        <v>1250</v>
      </c>
      <c r="V21" s="15">
        <v>1275</v>
      </c>
      <c r="W21" s="15">
        <v>1250</v>
      </c>
      <c r="X21" s="17">
        <f t="shared" si="2"/>
        <v>1262.5</v>
      </c>
      <c r="Y21" s="20">
        <f t="shared" si="3"/>
        <v>3.6071428571428572</v>
      </c>
      <c r="Z21" s="17">
        <f t="shared" si="4"/>
        <v>439.5</v>
      </c>
      <c r="AA21" s="20">
        <f t="shared" si="5"/>
        <v>3.9241071428571428</v>
      </c>
      <c r="AB21" s="22">
        <v>53</v>
      </c>
      <c r="AC21" s="22">
        <f t="shared" si="6"/>
        <v>7.1950450000000004</v>
      </c>
      <c r="AD21" s="23">
        <v>13.9664</v>
      </c>
      <c r="AE21" s="24">
        <f t="shared" si="7"/>
        <v>1.1173120000000001</v>
      </c>
      <c r="AF21" s="23">
        <v>0.28353200000000001</v>
      </c>
      <c r="AG21" s="23">
        <v>3.0896300000000001</v>
      </c>
      <c r="AH21" s="23">
        <v>0.40590100000000001</v>
      </c>
      <c r="AI21" s="25">
        <v>34</v>
      </c>
      <c r="AJ21" s="16">
        <v>3</v>
      </c>
      <c r="AK21" s="16">
        <v>6</v>
      </c>
      <c r="AL21" s="25">
        <v>15.5</v>
      </c>
      <c r="AM21" s="25">
        <v>10</v>
      </c>
      <c r="AN21" s="27">
        <f t="shared" si="8"/>
        <v>155</v>
      </c>
      <c r="AO21" s="28">
        <f t="shared" si="22"/>
        <v>108.40074980268351</v>
      </c>
      <c r="AP21" s="28">
        <f t="shared" si="23"/>
        <v>101.57381818181818</v>
      </c>
      <c r="AQ21" s="28">
        <f t="shared" si="24"/>
        <v>119.04761904761905</v>
      </c>
      <c r="AR21" s="28">
        <f t="shared" si="25"/>
        <v>86.787359550561803</v>
      </c>
      <c r="AS21" s="28">
        <f t="shared" si="26"/>
        <v>95.50561797752809</v>
      </c>
      <c r="AT21" s="28">
        <f t="shared" si="9"/>
        <v>103.55254609455767</v>
      </c>
      <c r="AU21" s="11" t="s">
        <v>201</v>
      </c>
    </row>
    <row r="22" spans="1:251" x14ac:dyDescent="0.2">
      <c r="A22" s="16">
        <v>44</v>
      </c>
      <c r="B22" s="11" t="s">
        <v>46</v>
      </c>
      <c r="C22" s="11" t="s">
        <v>173</v>
      </c>
      <c r="D22" s="11" t="s">
        <v>60</v>
      </c>
      <c r="E22" s="33" t="s">
        <v>107</v>
      </c>
      <c r="F22" s="11" t="s">
        <v>51</v>
      </c>
      <c r="G22" s="13">
        <v>42755</v>
      </c>
      <c r="I22" s="13">
        <v>43041</v>
      </c>
      <c r="J22" s="14">
        <v>43152</v>
      </c>
      <c r="K22" s="15">
        <v>107</v>
      </c>
      <c r="L22" s="16">
        <f t="shared" si="0"/>
        <v>397</v>
      </c>
      <c r="M22" s="16">
        <v>720</v>
      </c>
      <c r="N22" s="16">
        <v>748</v>
      </c>
      <c r="O22" s="16">
        <v>760</v>
      </c>
      <c r="P22" s="17">
        <f t="shared" si="1"/>
        <v>754</v>
      </c>
      <c r="U22" s="18">
        <v>1160</v>
      </c>
      <c r="V22" s="17">
        <v>1145</v>
      </c>
      <c r="W22" s="17">
        <v>1160</v>
      </c>
      <c r="X22" s="17">
        <f t="shared" si="2"/>
        <v>1152.5</v>
      </c>
      <c r="Y22" s="20">
        <f t="shared" si="3"/>
        <v>2.9030226700251891</v>
      </c>
      <c r="Z22" s="17">
        <f t="shared" si="4"/>
        <v>398.5</v>
      </c>
      <c r="AA22" s="20">
        <f t="shared" si="5"/>
        <v>3.5580357142857144</v>
      </c>
      <c r="AB22" s="21">
        <v>54</v>
      </c>
      <c r="AC22" s="22">
        <f t="shared" si="6"/>
        <v>7.1045764299999998</v>
      </c>
      <c r="AD22" s="23">
        <v>12.7881</v>
      </c>
      <c r="AE22" s="24">
        <f t="shared" si="7"/>
        <v>1.1024224137931034</v>
      </c>
      <c r="AF22" s="23">
        <v>0.30080499999999999</v>
      </c>
      <c r="AG22" s="23">
        <v>4.1866599999999998</v>
      </c>
      <c r="AH22" s="23">
        <v>0.257164</v>
      </c>
      <c r="AI22" s="25">
        <v>40</v>
      </c>
      <c r="AJ22" s="26">
        <v>3</v>
      </c>
      <c r="AK22" s="26">
        <v>7</v>
      </c>
      <c r="AL22" s="27">
        <v>14</v>
      </c>
      <c r="AM22" s="27">
        <v>10</v>
      </c>
      <c r="AN22" s="27">
        <f t="shared" si="8"/>
        <v>140</v>
      </c>
      <c r="AO22" s="28">
        <f t="shared" si="22"/>
        <v>98.288279400157847</v>
      </c>
      <c r="AP22" s="28">
        <f t="shared" si="23"/>
        <v>100.22021943573667</v>
      </c>
      <c r="AQ22" s="28">
        <f t="shared" si="24"/>
        <v>95.80932904373563</v>
      </c>
      <c r="AR22" s="28">
        <f t="shared" si="25"/>
        <v>117.60280898876402</v>
      </c>
      <c r="AS22" s="28">
        <f t="shared" si="26"/>
        <v>112.35955056179773</v>
      </c>
      <c r="AT22" s="28">
        <f t="shared" si="9"/>
        <v>103.4489103698744</v>
      </c>
    </row>
    <row r="23" spans="1:251" x14ac:dyDescent="0.2">
      <c r="A23" s="11">
        <v>9</v>
      </c>
      <c r="B23" s="11" t="s">
        <v>46</v>
      </c>
      <c r="C23" s="11" t="s">
        <v>173</v>
      </c>
      <c r="D23" s="32" t="s">
        <v>62</v>
      </c>
      <c r="E23" s="33" t="s">
        <v>75</v>
      </c>
      <c r="F23" s="11" t="s">
        <v>51</v>
      </c>
      <c r="G23" s="13">
        <v>42796</v>
      </c>
      <c r="I23" s="13">
        <v>43041</v>
      </c>
      <c r="J23" s="14">
        <v>43152</v>
      </c>
      <c r="K23" s="15">
        <v>100</v>
      </c>
      <c r="L23" s="16">
        <f t="shared" si="0"/>
        <v>356</v>
      </c>
      <c r="M23" s="16">
        <v>552</v>
      </c>
      <c r="N23" s="11">
        <v>528</v>
      </c>
      <c r="O23" s="16">
        <v>536</v>
      </c>
      <c r="P23" s="17">
        <f t="shared" si="1"/>
        <v>532</v>
      </c>
      <c r="U23" s="18">
        <v>952</v>
      </c>
      <c r="V23" s="15">
        <v>934</v>
      </c>
      <c r="W23" s="19">
        <v>946</v>
      </c>
      <c r="X23" s="17">
        <f t="shared" si="2"/>
        <v>940</v>
      </c>
      <c r="Y23" s="20">
        <f t="shared" si="3"/>
        <v>2.6404494382022472</v>
      </c>
      <c r="Z23" s="17">
        <f t="shared" si="4"/>
        <v>408</v>
      </c>
      <c r="AA23" s="20">
        <f t="shared" si="5"/>
        <v>3.6428571428571428</v>
      </c>
      <c r="AB23" s="21">
        <v>50</v>
      </c>
      <c r="AC23" s="22">
        <f t="shared" si="6"/>
        <v>5.6156699200000011</v>
      </c>
      <c r="AD23" s="23">
        <v>10.8939</v>
      </c>
      <c r="AE23" s="24">
        <f t="shared" si="7"/>
        <v>1.1443172268907562</v>
      </c>
      <c r="AF23" s="23">
        <v>0.23002700000000001</v>
      </c>
      <c r="AG23" s="23">
        <v>4.48827</v>
      </c>
      <c r="AH23" s="23">
        <v>0.26541599999999999</v>
      </c>
      <c r="AI23" s="25">
        <v>34.5</v>
      </c>
      <c r="AJ23" s="26">
        <v>3</v>
      </c>
      <c r="AK23" s="26">
        <v>6</v>
      </c>
      <c r="AL23" s="27">
        <v>16</v>
      </c>
      <c r="AM23" s="27">
        <v>12</v>
      </c>
      <c r="AN23" s="27">
        <f t="shared" si="8"/>
        <v>192</v>
      </c>
      <c r="AO23" s="28">
        <f t="shared" si="22"/>
        <v>100.63141278610892</v>
      </c>
      <c r="AP23" s="28">
        <f t="shared" si="23"/>
        <v>104.02883880825055</v>
      </c>
      <c r="AQ23" s="28">
        <f t="shared" si="24"/>
        <v>87.143545815255692</v>
      </c>
      <c r="AR23" s="28">
        <f t="shared" si="25"/>
        <v>126.075</v>
      </c>
      <c r="AS23" s="28">
        <f t="shared" si="26"/>
        <v>96.910112359550567</v>
      </c>
      <c r="AT23" s="28">
        <f t="shared" si="9"/>
        <v>103.32991199648899</v>
      </c>
      <c r="AV23" s="30"/>
      <c r="AW23" s="30"/>
      <c r="AX23" s="30"/>
      <c r="AY23" s="29"/>
      <c r="AZ23" s="30"/>
      <c r="BA23" s="30"/>
      <c r="BB23" s="29"/>
      <c r="BC23" s="30"/>
      <c r="BD23" s="30"/>
      <c r="BE23" s="30"/>
      <c r="BF23" s="30"/>
      <c r="BG23" s="30"/>
      <c r="BH23" s="29"/>
      <c r="BI23" s="30"/>
      <c r="BJ23" s="30"/>
      <c r="BK23" s="30"/>
      <c r="BL23" s="29"/>
      <c r="BM23" s="30"/>
      <c r="BN23" s="29"/>
      <c r="BO23" s="30"/>
      <c r="BP23" s="30"/>
      <c r="BQ23" s="30"/>
      <c r="BR23" s="30"/>
      <c r="BS23" s="31"/>
      <c r="BT23" s="30"/>
      <c r="BU23" s="30"/>
    </row>
    <row r="24" spans="1:251" x14ac:dyDescent="0.2">
      <c r="A24" s="11">
        <v>67</v>
      </c>
      <c r="B24" s="11" t="s">
        <v>46</v>
      </c>
      <c r="C24" s="11" t="s">
        <v>173</v>
      </c>
      <c r="D24" s="32" t="s">
        <v>66</v>
      </c>
      <c r="E24" s="12" t="s">
        <v>135</v>
      </c>
      <c r="F24" s="11" t="s">
        <v>51</v>
      </c>
      <c r="G24" s="13">
        <v>42738</v>
      </c>
      <c r="I24" s="13">
        <v>43041</v>
      </c>
      <c r="J24" s="14">
        <v>43152</v>
      </c>
      <c r="K24" s="15">
        <v>114</v>
      </c>
      <c r="L24" s="16">
        <f>J24-G24</f>
        <v>414</v>
      </c>
      <c r="M24" s="16">
        <v>818</v>
      </c>
      <c r="N24" s="16">
        <v>894</v>
      </c>
      <c r="O24" s="16">
        <v>906</v>
      </c>
      <c r="P24" s="17">
        <f>AVERAGE(N24:O24)</f>
        <v>900</v>
      </c>
      <c r="U24" s="18">
        <v>1310</v>
      </c>
      <c r="V24" s="17">
        <v>1325</v>
      </c>
      <c r="W24" s="17">
        <v>1325</v>
      </c>
      <c r="X24" s="17">
        <f>(V24+W24)/2</f>
        <v>1325</v>
      </c>
      <c r="Y24" s="20">
        <f>(X24/L24)</f>
        <v>3.2004830917874396</v>
      </c>
      <c r="Z24" s="17">
        <f>(X24-P24)</f>
        <v>425</v>
      </c>
      <c r="AA24" s="20">
        <f>(Z24/112)</f>
        <v>3.7946428571428572</v>
      </c>
      <c r="AB24" s="21">
        <v>52.5</v>
      </c>
      <c r="AC24" s="22">
        <f>-11.548+0.4878*(AB24)-0.0289*(L24)+0.00001947*(L24*L24)+0.0000334*(AB24*L24)</f>
        <v>6.1599291200000019</v>
      </c>
      <c r="AD24" s="23">
        <v>14.4114</v>
      </c>
      <c r="AE24" s="24">
        <f>AD24/U24*100</f>
        <v>1.1001068702290075</v>
      </c>
      <c r="AF24" s="23">
        <v>0.38123499999999999</v>
      </c>
      <c r="AG24" s="23">
        <v>3.4662600000000001</v>
      </c>
      <c r="AH24" s="23">
        <v>0.46062900000000001</v>
      </c>
      <c r="AI24" s="25">
        <v>37.5</v>
      </c>
      <c r="AJ24" s="26">
        <v>3</v>
      </c>
      <c r="AK24" s="26">
        <v>7</v>
      </c>
      <c r="AL24" s="27">
        <v>16</v>
      </c>
      <c r="AM24" s="27">
        <v>12</v>
      </c>
      <c r="AN24" s="27">
        <f>(AL24*AM24)</f>
        <v>192</v>
      </c>
      <c r="AO24" s="28">
        <f>(AA24/3.62)*100</f>
        <v>104.82438831886344</v>
      </c>
      <c r="AP24" s="28">
        <f>(AE24/1.1)*100</f>
        <v>100.00971547536433</v>
      </c>
      <c r="AQ24" s="28">
        <f>(Y24/3.03)*100</f>
        <v>105.62650467945348</v>
      </c>
      <c r="AR24" s="28">
        <f>(AG24/3.56)*100</f>
        <v>97.366853932584277</v>
      </c>
      <c r="AS24" s="28">
        <f>(AI24/35.6)*100</f>
        <v>105.33707865168537</v>
      </c>
      <c r="AT24" s="28">
        <f>(AO24*0.3)+(AP24*0.2)+(AQ24*0.2)+(AR24*0.2)+(AS24*0.1)</f>
        <v>102.58163917830798</v>
      </c>
    </row>
    <row r="25" spans="1:251" s="32" customFormat="1" x14ac:dyDescent="0.2">
      <c r="A25" s="11">
        <v>69</v>
      </c>
      <c r="B25" s="11" t="s">
        <v>46</v>
      </c>
      <c r="C25" s="11" t="s">
        <v>173</v>
      </c>
      <c r="D25" s="32" t="s">
        <v>66</v>
      </c>
      <c r="E25" s="12" t="s">
        <v>137</v>
      </c>
      <c r="F25" s="11" t="s">
        <v>51</v>
      </c>
      <c r="G25" s="13">
        <v>42752</v>
      </c>
      <c r="H25" s="13"/>
      <c r="I25" s="13">
        <v>43041</v>
      </c>
      <c r="J25" s="14">
        <v>43152</v>
      </c>
      <c r="K25" s="15">
        <v>114</v>
      </c>
      <c r="L25" s="16">
        <f t="shared" si="0"/>
        <v>400</v>
      </c>
      <c r="M25" s="16">
        <v>834</v>
      </c>
      <c r="N25" s="16">
        <v>904</v>
      </c>
      <c r="O25" s="16">
        <v>936</v>
      </c>
      <c r="P25" s="17">
        <f t="shared" si="1"/>
        <v>920</v>
      </c>
      <c r="Q25" s="17"/>
      <c r="R25" s="17"/>
      <c r="S25" s="17"/>
      <c r="T25" s="17"/>
      <c r="U25" s="18">
        <v>1375</v>
      </c>
      <c r="V25" s="17">
        <v>1375</v>
      </c>
      <c r="W25" s="17">
        <v>1400</v>
      </c>
      <c r="X25" s="17">
        <f t="shared" si="2"/>
        <v>1387.5</v>
      </c>
      <c r="Y25" s="20">
        <f t="shared" si="3"/>
        <v>3.46875</v>
      </c>
      <c r="Z25" s="17">
        <f t="shared" si="4"/>
        <v>467.5</v>
      </c>
      <c r="AA25" s="20">
        <f t="shared" si="5"/>
        <v>4.1741071428571432</v>
      </c>
      <c r="AB25" s="21">
        <v>56</v>
      </c>
      <c r="AC25" s="22">
        <f t="shared" si="6"/>
        <v>8.072160000000002</v>
      </c>
      <c r="AD25" s="23">
        <v>14.2423</v>
      </c>
      <c r="AE25" s="24">
        <f t="shared" si="7"/>
        <v>1.0358036363636363</v>
      </c>
      <c r="AF25" s="23">
        <v>0.238261</v>
      </c>
      <c r="AG25" s="23">
        <v>2.8598300000000001</v>
      </c>
      <c r="AH25" s="23">
        <v>0.28404499999999999</v>
      </c>
      <c r="AI25" s="25">
        <v>35.5</v>
      </c>
      <c r="AJ25" s="26">
        <v>4</v>
      </c>
      <c r="AK25" s="26">
        <v>7</v>
      </c>
      <c r="AL25" s="27">
        <v>16</v>
      </c>
      <c r="AM25" s="27">
        <v>13</v>
      </c>
      <c r="AN25" s="27">
        <f t="shared" si="8"/>
        <v>208</v>
      </c>
      <c r="AO25" s="28">
        <f t="shared" si="22"/>
        <v>115.3068271507498</v>
      </c>
      <c r="AP25" s="28">
        <f t="shared" si="23"/>
        <v>94.163966942148747</v>
      </c>
      <c r="AQ25" s="28">
        <f t="shared" si="24"/>
        <v>114.48019801980197</v>
      </c>
      <c r="AR25" s="28">
        <f t="shared" si="25"/>
        <v>80.332303370786519</v>
      </c>
      <c r="AS25" s="28">
        <f t="shared" si="26"/>
        <v>99.719101123595493</v>
      </c>
      <c r="AT25" s="28">
        <f t="shared" si="9"/>
        <v>102.35925192413194</v>
      </c>
      <c r="AU25" s="11"/>
      <c r="AV25" s="11"/>
      <c r="AW25" s="11"/>
      <c r="AX25" s="34"/>
      <c r="AY25" s="16"/>
      <c r="AZ25" s="34"/>
      <c r="BA25" s="34"/>
      <c r="BB25" s="16"/>
      <c r="BC25" s="16"/>
      <c r="BD25" s="11"/>
      <c r="BE25" s="11"/>
      <c r="BF25" s="11"/>
      <c r="BG25" s="34"/>
      <c r="BH25" s="16"/>
      <c r="BI25" s="34"/>
      <c r="BJ25" s="34"/>
      <c r="BK25" s="11"/>
      <c r="BL25" s="11"/>
      <c r="BM25" s="11"/>
      <c r="BN25" s="11"/>
      <c r="BO25" s="34"/>
      <c r="BP25" s="11"/>
      <c r="BQ25" s="11"/>
      <c r="BR25" s="11"/>
      <c r="BS25" s="25"/>
      <c r="BT25" s="34"/>
      <c r="BU25" s="34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</row>
    <row r="26" spans="1:251" s="32" customFormat="1" x14ac:dyDescent="0.2">
      <c r="A26" s="16">
        <v>41</v>
      </c>
      <c r="B26" s="11" t="s">
        <v>46</v>
      </c>
      <c r="C26" s="11" t="s">
        <v>173</v>
      </c>
      <c r="D26" s="11" t="s">
        <v>60</v>
      </c>
      <c r="E26" s="12" t="s">
        <v>104</v>
      </c>
      <c r="F26" s="11" t="s">
        <v>51</v>
      </c>
      <c r="G26" s="13">
        <v>42749</v>
      </c>
      <c r="H26" s="13"/>
      <c r="I26" s="13">
        <v>43041</v>
      </c>
      <c r="J26" s="14">
        <v>43152</v>
      </c>
      <c r="K26" s="15">
        <v>107</v>
      </c>
      <c r="L26" s="16">
        <f t="shared" si="0"/>
        <v>403</v>
      </c>
      <c r="M26" s="16">
        <v>736</v>
      </c>
      <c r="N26" s="16">
        <v>768</v>
      </c>
      <c r="O26" s="16">
        <v>766</v>
      </c>
      <c r="P26" s="17">
        <f t="shared" si="1"/>
        <v>767</v>
      </c>
      <c r="Q26" s="17"/>
      <c r="R26" s="17"/>
      <c r="S26" s="17"/>
      <c r="T26" s="17"/>
      <c r="U26" s="18">
        <v>1185</v>
      </c>
      <c r="V26" s="17">
        <v>1195</v>
      </c>
      <c r="W26" s="17">
        <v>1185</v>
      </c>
      <c r="X26" s="17">
        <f t="shared" si="2"/>
        <v>1190</v>
      </c>
      <c r="Y26" s="20">
        <f t="shared" si="3"/>
        <v>2.9528535980148884</v>
      </c>
      <c r="Z26" s="17">
        <f t="shared" si="4"/>
        <v>423</v>
      </c>
      <c r="AA26" s="20">
        <f t="shared" si="5"/>
        <v>3.7767857142857144</v>
      </c>
      <c r="AB26" s="21">
        <v>53</v>
      </c>
      <c r="AC26" s="22">
        <f t="shared" si="6"/>
        <v>6.5341938300000013</v>
      </c>
      <c r="AD26" s="23">
        <v>13.104200000000001</v>
      </c>
      <c r="AE26" s="24">
        <f t="shared" si="7"/>
        <v>1.1058396624472575</v>
      </c>
      <c r="AF26" s="23">
        <v>0.26048500000000002</v>
      </c>
      <c r="AG26" s="23">
        <v>3.7088999999999999</v>
      </c>
      <c r="AH26" s="23">
        <v>0.36560500000000001</v>
      </c>
      <c r="AI26" s="25">
        <v>36.5</v>
      </c>
      <c r="AJ26" s="26">
        <v>3</v>
      </c>
      <c r="AK26" s="26">
        <v>6</v>
      </c>
      <c r="AL26" s="27">
        <v>16</v>
      </c>
      <c r="AM26" s="27">
        <v>12</v>
      </c>
      <c r="AN26" s="27">
        <f t="shared" si="8"/>
        <v>192</v>
      </c>
      <c r="AO26" s="28">
        <f t="shared" si="22"/>
        <v>104.33109707971586</v>
      </c>
      <c r="AP26" s="28">
        <f t="shared" si="23"/>
        <v>100.53087840429613</v>
      </c>
      <c r="AQ26" s="28">
        <f t="shared" si="24"/>
        <v>97.453914125903921</v>
      </c>
      <c r="AR26" s="28">
        <f t="shared" si="25"/>
        <v>104.18258426966291</v>
      </c>
      <c r="AS26" s="28">
        <f t="shared" si="26"/>
        <v>102.52808988764043</v>
      </c>
      <c r="AT26" s="28">
        <f t="shared" si="9"/>
        <v>101.98561347265139</v>
      </c>
      <c r="AU26" s="11"/>
      <c r="AV26" s="11"/>
      <c r="AW26" s="11"/>
      <c r="AX26" s="34"/>
      <c r="AY26" s="16"/>
      <c r="AZ26" s="34"/>
      <c r="BA26" s="34"/>
      <c r="BB26" s="16"/>
      <c r="BC26" s="16"/>
      <c r="BD26" s="11"/>
      <c r="BE26" s="11"/>
      <c r="BF26" s="11"/>
      <c r="BG26" s="34"/>
      <c r="BH26" s="16"/>
      <c r="BI26" s="34"/>
      <c r="BJ26" s="34"/>
      <c r="BK26" s="11"/>
      <c r="BL26" s="11"/>
      <c r="BM26" s="11"/>
      <c r="BN26" s="11"/>
      <c r="BO26" s="34"/>
      <c r="BP26" s="11"/>
      <c r="BQ26" s="11"/>
      <c r="BR26" s="11"/>
      <c r="BS26" s="25"/>
      <c r="BT26" s="34"/>
      <c r="BU26" s="34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</row>
    <row r="27" spans="1:251" s="32" customFormat="1" x14ac:dyDescent="0.2">
      <c r="A27" s="11">
        <v>65</v>
      </c>
      <c r="B27" s="11" t="s">
        <v>46</v>
      </c>
      <c r="C27" s="11" t="s">
        <v>173</v>
      </c>
      <c r="D27" s="32" t="s">
        <v>66</v>
      </c>
      <c r="E27" s="12" t="s">
        <v>133</v>
      </c>
      <c r="F27" s="11" t="s">
        <v>51</v>
      </c>
      <c r="G27" s="36">
        <v>42810</v>
      </c>
      <c r="H27" s="13"/>
      <c r="I27" s="13">
        <v>43041</v>
      </c>
      <c r="J27" s="14">
        <v>43152</v>
      </c>
      <c r="K27" s="15">
        <v>114</v>
      </c>
      <c r="L27" s="16">
        <f t="shared" si="0"/>
        <v>342</v>
      </c>
      <c r="M27" s="16">
        <v>610</v>
      </c>
      <c r="N27" s="16">
        <v>676</v>
      </c>
      <c r="O27" s="16">
        <v>686</v>
      </c>
      <c r="P27" s="17">
        <f t="shared" si="1"/>
        <v>681</v>
      </c>
      <c r="Q27" s="17"/>
      <c r="R27" s="17"/>
      <c r="S27" s="17"/>
      <c r="T27" s="17"/>
      <c r="U27" s="18">
        <v>1055</v>
      </c>
      <c r="V27" s="17">
        <v>1085</v>
      </c>
      <c r="W27" s="19">
        <v>1075</v>
      </c>
      <c r="X27" s="17">
        <f t="shared" si="2"/>
        <v>1080</v>
      </c>
      <c r="Y27" s="20">
        <f t="shared" si="3"/>
        <v>3.1578947368421053</v>
      </c>
      <c r="Z27" s="17">
        <f t="shared" si="4"/>
        <v>399</v>
      </c>
      <c r="AA27" s="20">
        <f t="shared" si="5"/>
        <v>3.5625</v>
      </c>
      <c r="AB27" s="21">
        <v>53</v>
      </c>
      <c r="AC27" s="22">
        <f t="shared" si="6"/>
        <v>7.3042974800000016</v>
      </c>
      <c r="AD27" s="23">
        <v>12.401899999999999</v>
      </c>
      <c r="AE27" s="24">
        <f t="shared" si="7"/>
        <v>1.1755355450236966</v>
      </c>
      <c r="AF27" s="23">
        <v>0.15925</v>
      </c>
      <c r="AG27" s="23">
        <v>3.2963499999999999</v>
      </c>
      <c r="AH27" s="23">
        <v>0.371583</v>
      </c>
      <c r="AI27" s="25">
        <v>35</v>
      </c>
      <c r="AJ27" s="26">
        <v>4</v>
      </c>
      <c r="AK27" s="26">
        <v>7</v>
      </c>
      <c r="AL27" s="27">
        <v>16</v>
      </c>
      <c r="AM27" s="27">
        <v>12</v>
      </c>
      <c r="AN27" s="27">
        <f t="shared" si="8"/>
        <v>192</v>
      </c>
      <c r="AO27" s="28">
        <f t="shared" si="22"/>
        <v>98.411602209944746</v>
      </c>
      <c r="AP27" s="28">
        <f t="shared" si="23"/>
        <v>106.86686772942696</v>
      </c>
      <c r="AQ27" s="28">
        <f t="shared" si="24"/>
        <v>104.22094841063054</v>
      </c>
      <c r="AR27" s="28">
        <f t="shared" si="25"/>
        <v>92.594101123595493</v>
      </c>
      <c r="AS27" s="28">
        <f t="shared" si="26"/>
        <v>98.31460674157303</v>
      </c>
      <c r="AT27" s="28">
        <f t="shared" si="9"/>
        <v>100.09132478987134</v>
      </c>
      <c r="AU27" s="11"/>
      <c r="AV27" s="30"/>
      <c r="AW27" s="30"/>
      <c r="AX27" s="30"/>
      <c r="AY27" s="29"/>
      <c r="AZ27" s="30"/>
      <c r="BA27" s="30"/>
      <c r="BB27" s="16"/>
      <c r="BC27" s="30"/>
      <c r="BD27" s="30"/>
      <c r="BE27" s="30"/>
      <c r="BF27" s="30"/>
      <c r="BG27" s="30"/>
      <c r="BH27" s="29"/>
      <c r="BI27" s="30"/>
      <c r="BJ27" s="30"/>
      <c r="BK27" s="30"/>
      <c r="BL27" s="29"/>
      <c r="BM27" s="30"/>
      <c r="BN27" s="29"/>
      <c r="BO27" s="30"/>
      <c r="BP27" s="30"/>
      <c r="BQ27" s="30"/>
      <c r="BR27" s="30"/>
      <c r="BS27" s="31"/>
      <c r="BT27" s="30"/>
      <c r="BU27" s="30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</row>
    <row r="28" spans="1:251" ht="15.75" x14ac:dyDescent="0.25">
      <c r="A28" s="11">
        <v>66</v>
      </c>
      <c r="B28" s="11" t="s">
        <v>46</v>
      </c>
      <c r="C28" s="11" t="s">
        <v>173</v>
      </c>
      <c r="D28" s="32" t="s">
        <v>66</v>
      </c>
      <c r="E28" s="12" t="s">
        <v>134</v>
      </c>
      <c r="F28" s="11" t="s">
        <v>51</v>
      </c>
      <c r="G28" s="13">
        <v>42805</v>
      </c>
      <c r="I28" s="13">
        <v>43041</v>
      </c>
      <c r="J28" s="14">
        <v>43152</v>
      </c>
      <c r="K28" s="15">
        <v>114</v>
      </c>
      <c r="L28" s="16">
        <f t="shared" si="0"/>
        <v>347</v>
      </c>
      <c r="M28" s="16">
        <v>650</v>
      </c>
      <c r="N28" s="11">
        <v>722</v>
      </c>
      <c r="O28" s="16">
        <v>728</v>
      </c>
      <c r="P28" s="17">
        <f t="shared" si="1"/>
        <v>725</v>
      </c>
      <c r="U28" s="18">
        <v>1150</v>
      </c>
      <c r="V28" s="15">
        <v>1160</v>
      </c>
      <c r="W28" s="17">
        <v>1160</v>
      </c>
      <c r="X28" s="17">
        <f t="shared" si="2"/>
        <v>1160</v>
      </c>
      <c r="Y28" s="20">
        <f t="shared" si="3"/>
        <v>3.3429394812680115</v>
      </c>
      <c r="Z28" s="17">
        <f t="shared" si="4"/>
        <v>435</v>
      </c>
      <c r="AA28" s="20">
        <f t="shared" si="5"/>
        <v>3.8839285714285716</v>
      </c>
      <c r="AB28" s="21">
        <v>50</v>
      </c>
      <c r="AC28" s="22">
        <f t="shared" si="6"/>
        <v>5.7375532300000014</v>
      </c>
      <c r="AD28" s="23">
        <v>12.3569</v>
      </c>
      <c r="AE28" s="24">
        <f t="shared" si="7"/>
        <v>1.0745130434782608</v>
      </c>
      <c r="AF28" s="23">
        <v>0.26541599999999999</v>
      </c>
      <c r="AG28" s="23">
        <v>2.7606600000000001</v>
      </c>
      <c r="AH28" s="23">
        <v>0.44235999999999998</v>
      </c>
      <c r="AI28" s="25">
        <v>35</v>
      </c>
      <c r="AJ28" s="26">
        <v>3</v>
      </c>
      <c r="AK28" s="26">
        <v>7</v>
      </c>
      <c r="AL28" s="27">
        <v>15.5</v>
      </c>
      <c r="AM28" s="27">
        <v>12.5</v>
      </c>
      <c r="AN28" s="27">
        <f t="shared" si="8"/>
        <v>193.75</v>
      </c>
      <c r="AO28" s="28">
        <f t="shared" si="22"/>
        <v>107.29084451460142</v>
      </c>
      <c r="AP28" s="28">
        <f t="shared" si="23"/>
        <v>97.683003952569152</v>
      </c>
      <c r="AQ28" s="28">
        <f t="shared" si="24"/>
        <v>110.32803568541294</v>
      </c>
      <c r="AR28" s="28">
        <f t="shared" si="25"/>
        <v>77.546629213483158</v>
      </c>
      <c r="AS28" s="28">
        <f t="shared" si="26"/>
        <v>98.31460674157303</v>
      </c>
      <c r="AT28" s="28">
        <f t="shared" si="9"/>
        <v>99.13024779883078</v>
      </c>
      <c r="AU28" s="35"/>
      <c r="AV28" s="30"/>
      <c r="AW28" s="30"/>
      <c r="AX28" s="30"/>
      <c r="AY28" s="29"/>
      <c r="AZ28" s="30"/>
      <c r="BA28" s="30"/>
      <c r="BC28" s="30"/>
      <c r="BD28" s="30"/>
      <c r="BE28" s="30"/>
      <c r="BF28" s="30"/>
      <c r="BG28" s="30"/>
      <c r="BH28" s="29"/>
      <c r="BI28" s="30"/>
      <c r="BJ28" s="30"/>
      <c r="BK28" s="30"/>
      <c r="BL28" s="29"/>
      <c r="BM28" s="30"/>
      <c r="BN28" s="29"/>
      <c r="BO28" s="30"/>
      <c r="BP28" s="30"/>
      <c r="BQ28" s="30"/>
      <c r="BR28" s="30"/>
      <c r="BS28" s="31"/>
      <c r="BT28" s="30"/>
      <c r="BU28" s="30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</row>
    <row r="29" spans="1:251" x14ac:dyDescent="0.2">
      <c r="A29" s="16">
        <v>43</v>
      </c>
      <c r="B29" s="11" t="s">
        <v>46</v>
      </c>
      <c r="C29" s="11" t="s">
        <v>173</v>
      </c>
      <c r="D29" s="11" t="s">
        <v>60</v>
      </c>
      <c r="E29" s="12" t="s">
        <v>106</v>
      </c>
      <c r="F29" s="11" t="s">
        <v>51</v>
      </c>
      <c r="G29" s="13">
        <v>42765</v>
      </c>
      <c r="I29" s="13">
        <v>43041</v>
      </c>
      <c r="J29" s="14">
        <v>43152</v>
      </c>
      <c r="K29" s="15">
        <v>107</v>
      </c>
      <c r="L29" s="16">
        <f t="shared" si="0"/>
        <v>387</v>
      </c>
      <c r="M29" s="16">
        <v>670</v>
      </c>
      <c r="N29" s="16">
        <v>678</v>
      </c>
      <c r="O29" s="16">
        <v>686</v>
      </c>
      <c r="P29" s="17">
        <f t="shared" si="1"/>
        <v>682</v>
      </c>
      <c r="Q29" s="15"/>
      <c r="R29" s="15"/>
      <c r="S29" s="15"/>
      <c r="T29" s="15"/>
      <c r="U29" s="18">
        <v>1075</v>
      </c>
      <c r="V29" s="17">
        <v>1065</v>
      </c>
      <c r="W29" s="15">
        <v>1095</v>
      </c>
      <c r="X29" s="17">
        <f t="shared" si="2"/>
        <v>1080</v>
      </c>
      <c r="Y29" s="20">
        <f t="shared" si="3"/>
        <v>2.7906976744186047</v>
      </c>
      <c r="Z29" s="17">
        <f t="shared" si="4"/>
        <v>398</v>
      </c>
      <c r="AA29" s="20">
        <f t="shared" si="5"/>
        <v>3.5535714285714284</v>
      </c>
      <c r="AB29" s="22">
        <v>49</v>
      </c>
      <c r="AC29" s="22">
        <f t="shared" si="6"/>
        <v>4.7192666300000026</v>
      </c>
      <c r="AD29" s="23">
        <v>11.171799999999999</v>
      </c>
      <c r="AE29" s="24">
        <f t="shared" si="7"/>
        <v>1.0392372093023254</v>
      </c>
      <c r="AF29" s="23">
        <v>0.15502199999999999</v>
      </c>
      <c r="AG29" s="23">
        <v>3.8369800000000001</v>
      </c>
      <c r="AH29" s="23">
        <v>0.21727399999999999</v>
      </c>
      <c r="AI29" s="25">
        <v>39</v>
      </c>
      <c r="AJ29" s="16">
        <v>5</v>
      </c>
      <c r="AK29" s="16">
        <v>7</v>
      </c>
      <c r="AL29" s="25">
        <v>16</v>
      </c>
      <c r="AM29" s="25">
        <v>11.5</v>
      </c>
      <c r="AN29" s="27">
        <f t="shared" si="8"/>
        <v>184</v>
      </c>
      <c r="AO29" s="28">
        <f t="shared" si="22"/>
        <v>98.164956590370949</v>
      </c>
      <c r="AP29" s="28">
        <f t="shared" si="23"/>
        <v>94.476109936575043</v>
      </c>
      <c r="AQ29" s="28">
        <f t="shared" si="24"/>
        <v>92.102233479161882</v>
      </c>
      <c r="AR29" s="28">
        <f t="shared" si="25"/>
        <v>107.78033707865168</v>
      </c>
      <c r="AS29" s="28">
        <f t="shared" si="26"/>
        <v>109.55056179775281</v>
      </c>
      <c r="AT29" s="28">
        <f t="shared" si="9"/>
        <v>99.276279255764294</v>
      </c>
    </row>
    <row r="30" spans="1:251" x14ac:dyDescent="0.2">
      <c r="A30" s="16">
        <v>47</v>
      </c>
      <c r="B30" s="11" t="s">
        <v>46</v>
      </c>
      <c r="C30" s="11" t="s">
        <v>173</v>
      </c>
      <c r="D30" s="11" t="s">
        <v>110</v>
      </c>
      <c r="E30" s="12" t="s">
        <v>112</v>
      </c>
      <c r="F30" s="11" t="s">
        <v>51</v>
      </c>
      <c r="G30" s="13">
        <v>42834</v>
      </c>
      <c r="I30" s="13">
        <v>43041</v>
      </c>
      <c r="J30" s="14">
        <v>43152</v>
      </c>
      <c r="K30" s="15">
        <v>109</v>
      </c>
      <c r="L30" s="16">
        <f t="shared" si="0"/>
        <v>318</v>
      </c>
      <c r="M30" s="16">
        <v>562</v>
      </c>
      <c r="N30" s="16">
        <v>596</v>
      </c>
      <c r="O30" s="16">
        <v>590</v>
      </c>
      <c r="P30" s="17">
        <f t="shared" si="1"/>
        <v>593</v>
      </c>
      <c r="U30" s="18">
        <v>952</v>
      </c>
      <c r="V30" s="17">
        <v>976</v>
      </c>
      <c r="W30" s="17">
        <v>978</v>
      </c>
      <c r="X30" s="17">
        <f t="shared" si="2"/>
        <v>977</v>
      </c>
      <c r="Y30" s="20">
        <f t="shared" si="3"/>
        <v>3.0723270440251573</v>
      </c>
      <c r="Z30" s="17">
        <f t="shared" si="4"/>
        <v>384</v>
      </c>
      <c r="AA30" s="20">
        <f t="shared" si="5"/>
        <v>3.4285714285714284</v>
      </c>
      <c r="AB30" s="21">
        <v>52.5</v>
      </c>
      <c r="AC30" s="22">
        <f t="shared" si="6"/>
        <v>7.3977972800000016</v>
      </c>
      <c r="AD30" s="23">
        <v>10.261200000000001</v>
      </c>
      <c r="AE30" s="24">
        <f t="shared" si="7"/>
        <v>1.0778571428571428</v>
      </c>
      <c r="AF30" s="23">
        <v>0.165162</v>
      </c>
      <c r="AG30" s="23">
        <v>3.4405999999999999</v>
      </c>
      <c r="AH30" s="23">
        <v>0.28404499999999999</v>
      </c>
      <c r="AI30" s="25">
        <v>33.5</v>
      </c>
      <c r="AJ30" s="26">
        <v>2</v>
      </c>
      <c r="AK30" s="26">
        <v>6</v>
      </c>
      <c r="AL30" s="27">
        <v>15</v>
      </c>
      <c r="AM30" s="27">
        <v>11</v>
      </c>
      <c r="AN30" s="27">
        <f t="shared" si="8"/>
        <v>165</v>
      </c>
      <c r="AO30" s="28">
        <f t="shared" si="22"/>
        <v>94.711917916337796</v>
      </c>
      <c r="AP30" s="28">
        <f t="shared" si="23"/>
        <v>97.987012987012974</v>
      </c>
      <c r="AQ30" s="28">
        <f t="shared" si="24"/>
        <v>101.39693214604479</v>
      </c>
      <c r="AR30" s="28">
        <f t="shared" si="25"/>
        <v>96.646067415730329</v>
      </c>
      <c r="AS30" s="28">
        <f t="shared" si="26"/>
        <v>94.101123595505612</v>
      </c>
      <c r="AT30" s="28">
        <f t="shared" si="9"/>
        <v>97.029690244209519</v>
      </c>
    </row>
    <row r="31" spans="1:251" x14ac:dyDescent="0.2">
      <c r="A31" s="16">
        <v>46</v>
      </c>
      <c r="B31" s="11" t="s">
        <v>46</v>
      </c>
      <c r="C31" s="11" t="s">
        <v>173</v>
      </c>
      <c r="D31" s="11" t="s">
        <v>110</v>
      </c>
      <c r="E31" s="12" t="s">
        <v>111</v>
      </c>
      <c r="F31" s="11" t="s">
        <v>51</v>
      </c>
      <c r="G31" s="13">
        <v>42795</v>
      </c>
      <c r="I31" s="13">
        <v>43041</v>
      </c>
      <c r="J31" s="14">
        <v>43152</v>
      </c>
      <c r="K31" s="15">
        <v>109</v>
      </c>
      <c r="L31" s="16">
        <f t="shared" si="0"/>
        <v>357</v>
      </c>
      <c r="M31" s="16">
        <v>564</v>
      </c>
      <c r="N31" s="16">
        <v>602</v>
      </c>
      <c r="O31" s="16">
        <v>612</v>
      </c>
      <c r="P31" s="17">
        <f t="shared" si="1"/>
        <v>607</v>
      </c>
      <c r="U31" s="18">
        <v>948</v>
      </c>
      <c r="V31" s="17">
        <v>974</v>
      </c>
      <c r="W31" s="17">
        <v>972</v>
      </c>
      <c r="X31" s="17">
        <f t="shared" si="2"/>
        <v>973</v>
      </c>
      <c r="Y31" s="20">
        <f t="shared" si="3"/>
        <v>2.7254901960784315</v>
      </c>
      <c r="Z31" s="17">
        <f t="shared" si="4"/>
        <v>366</v>
      </c>
      <c r="AA31" s="20">
        <f t="shared" si="5"/>
        <v>3.2678571428571428</v>
      </c>
      <c r="AB31" s="21">
        <v>49</v>
      </c>
      <c r="AC31" s="22">
        <f t="shared" si="6"/>
        <v>5.1025982300000017</v>
      </c>
      <c r="AD31" s="23">
        <v>10.0878</v>
      </c>
      <c r="AE31" s="24">
        <f t="shared" si="7"/>
        <v>1.064113924050633</v>
      </c>
      <c r="AF31" s="23">
        <v>0.20757900000000001</v>
      </c>
      <c r="AG31" s="23">
        <v>4.1310000000000002</v>
      </c>
      <c r="AH31" s="23">
        <v>0.336982</v>
      </c>
      <c r="AI31" s="25">
        <v>31.5</v>
      </c>
      <c r="AJ31" s="26">
        <v>2</v>
      </c>
      <c r="AK31" s="26">
        <v>5</v>
      </c>
      <c r="AL31" s="27">
        <v>15</v>
      </c>
      <c r="AM31" s="27">
        <v>10</v>
      </c>
      <c r="AN31" s="27">
        <f t="shared" si="8"/>
        <v>150</v>
      </c>
      <c r="AO31" s="28">
        <f t="shared" si="22"/>
        <v>90.272296764009468</v>
      </c>
      <c r="AP31" s="28">
        <f t="shared" si="23"/>
        <v>96.737629459148451</v>
      </c>
      <c r="AQ31" s="28">
        <f t="shared" si="24"/>
        <v>89.950171487737023</v>
      </c>
      <c r="AR31" s="28">
        <f t="shared" si="25"/>
        <v>116.03932584269663</v>
      </c>
      <c r="AS31" s="28">
        <f t="shared" si="26"/>
        <v>88.483146067415731</v>
      </c>
      <c r="AT31" s="28">
        <f t="shared" si="9"/>
        <v>96.475428993860831</v>
      </c>
    </row>
    <row r="32" spans="1:251" x14ac:dyDescent="0.2">
      <c r="A32" s="11">
        <v>23</v>
      </c>
      <c r="B32" s="11" t="s">
        <v>46</v>
      </c>
      <c r="C32" s="11" t="s">
        <v>173</v>
      </c>
      <c r="D32" s="32" t="s">
        <v>86</v>
      </c>
      <c r="E32" s="12" t="s">
        <v>87</v>
      </c>
      <c r="F32" s="11" t="s">
        <v>51</v>
      </c>
      <c r="G32" s="36">
        <v>42775</v>
      </c>
      <c r="I32" s="13">
        <v>43041</v>
      </c>
      <c r="J32" s="14">
        <v>43152</v>
      </c>
      <c r="K32" s="15">
        <v>104</v>
      </c>
      <c r="L32" s="16">
        <f t="shared" si="0"/>
        <v>377</v>
      </c>
      <c r="M32" s="16">
        <v>606</v>
      </c>
      <c r="N32" s="16">
        <v>636</v>
      </c>
      <c r="O32" s="16">
        <v>658</v>
      </c>
      <c r="P32" s="17">
        <f t="shared" si="1"/>
        <v>647</v>
      </c>
      <c r="U32" s="18">
        <v>1000</v>
      </c>
      <c r="V32" s="17">
        <v>1015</v>
      </c>
      <c r="W32" s="17">
        <v>1015</v>
      </c>
      <c r="X32" s="17">
        <f t="shared" si="2"/>
        <v>1015</v>
      </c>
      <c r="Y32" s="20">
        <f t="shared" si="3"/>
        <v>2.6923076923076925</v>
      </c>
      <c r="Z32" s="17">
        <f t="shared" si="4"/>
        <v>368</v>
      </c>
      <c r="AA32" s="20">
        <f t="shared" si="5"/>
        <v>3.2857142857142856</v>
      </c>
      <c r="AB32" s="21">
        <v>52</v>
      </c>
      <c r="AC32" s="22">
        <f t="shared" si="6"/>
        <v>6.3443252300000026</v>
      </c>
      <c r="AD32" s="23">
        <v>11.7043</v>
      </c>
      <c r="AE32" s="24">
        <f t="shared" si="7"/>
        <v>1.1704299999999999</v>
      </c>
      <c r="AF32" s="23">
        <v>0.15795100000000001</v>
      </c>
      <c r="AG32" s="23">
        <v>3.1943100000000002</v>
      </c>
      <c r="AH32" s="23">
        <v>0.44475300000000001</v>
      </c>
      <c r="AI32" s="25">
        <v>32</v>
      </c>
      <c r="AJ32" s="26">
        <v>3</v>
      </c>
      <c r="AK32" s="26">
        <v>5</v>
      </c>
      <c r="AL32" s="27">
        <v>14</v>
      </c>
      <c r="AM32" s="27">
        <v>10.5</v>
      </c>
      <c r="AN32" s="27">
        <f t="shared" si="8"/>
        <v>147</v>
      </c>
      <c r="AO32" s="28">
        <f t="shared" si="22"/>
        <v>90.765588003157063</v>
      </c>
      <c r="AP32" s="28">
        <f t="shared" si="23"/>
        <v>106.40272727272726</v>
      </c>
      <c r="AQ32" s="28">
        <f t="shared" si="24"/>
        <v>88.855039350088873</v>
      </c>
      <c r="AR32" s="28">
        <f t="shared" si="25"/>
        <v>89.727808988764053</v>
      </c>
      <c r="AS32" s="28">
        <f t="shared" si="26"/>
        <v>89.887640449438194</v>
      </c>
      <c r="AT32" s="28">
        <f t="shared" si="9"/>
        <v>93.21555556820698</v>
      </c>
      <c r="AV32" s="30"/>
      <c r="AW32" s="30"/>
      <c r="AX32" s="30"/>
      <c r="AY32" s="29"/>
      <c r="AZ32" s="30"/>
      <c r="BA32" s="30"/>
      <c r="BC32" s="30"/>
      <c r="BD32" s="30"/>
      <c r="BE32" s="30"/>
      <c r="BF32" s="30"/>
      <c r="BG32" s="30"/>
      <c r="BH32" s="29"/>
      <c r="BI32" s="30"/>
      <c r="BJ32" s="30"/>
      <c r="BK32" s="30"/>
      <c r="BL32" s="29"/>
      <c r="BM32" s="30"/>
      <c r="BN32" s="29"/>
      <c r="BO32" s="30"/>
      <c r="BP32" s="30"/>
      <c r="BQ32" s="30"/>
      <c r="BR32" s="30"/>
      <c r="BS32" s="31"/>
      <c r="BT32" s="30"/>
      <c r="BU32" s="30"/>
    </row>
    <row r="33" spans="1:251" s="32" customFormat="1" x14ac:dyDescent="0.2">
      <c r="A33" s="11">
        <v>4</v>
      </c>
      <c r="B33" s="11" t="s">
        <v>46</v>
      </c>
      <c r="C33" s="11" t="s">
        <v>173</v>
      </c>
      <c r="D33" s="32" t="s">
        <v>62</v>
      </c>
      <c r="E33" s="12" t="s">
        <v>71</v>
      </c>
      <c r="F33" s="11" t="s">
        <v>51</v>
      </c>
      <c r="G33" s="13">
        <v>42793</v>
      </c>
      <c r="H33" s="13"/>
      <c r="I33" s="13">
        <v>43041</v>
      </c>
      <c r="J33" s="14">
        <v>43152</v>
      </c>
      <c r="K33" s="15">
        <v>100</v>
      </c>
      <c r="L33" s="16">
        <f t="shared" si="0"/>
        <v>359</v>
      </c>
      <c r="M33" s="16">
        <v>668</v>
      </c>
      <c r="N33" s="16">
        <v>728</v>
      </c>
      <c r="O33" s="16">
        <v>742</v>
      </c>
      <c r="P33" s="17">
        <f t="shared" si="1"/>
        <v>735</v>
      </c>
      <c r="Q33" s="17"/>
      <c r="R33" s="17"/>
      <c r="S33" s="17"/>
      <c r="T33" s="17"/>
      <c r="U33" s="18">
        <v>1065</v>
      </c>
      <c r="V33" s="17">
        <v>1045</v>
      </c>
      <c r="W33" s="19">
        <v>1055</v>
      </c>
      <c r="X33" s="17">
        <f t="shared" si="2"/>
        <v>1050</v>
      </c>
      <c r="Y33" s="20">
        <f t="shared" si="3"/>
        <v>2.9247910863509747</v>
      </c>
      <c r="Z33" s="17">
        <f t="shared" si="4"/>
        <v>315</v>
      </c>
      <c r="AA33" s="20">
        <f t="shared" si="5"/>
        <v>2.8125</v>
      </c>
      <c r="AB33" s="21">
        <v>53</v>
      </c>
      <c r="AC33" s="22">
        <f t="shared" si="6"/>
        <v>7.0751148700000011</v>
      </c>
      <c r="AD33" s="23">
        <v>11.491199999999999</v>
      </c>
      <c r="AE33" s="24">
        <f t="shared" si="7"/>
        <v>1.0789859154929577</v>
      </c>
      <c r="AF33" s="23">
        <v>0.24357100000000001</v>
      </c>
      <c r="AG33" s="23">
        <v>2.8615400000000002</v>
      </c>
      <c r="AH33" s="23">
        <v>0.33933600000000003</v>
      </c>
      <c r="AI33" s="25">
        <v>31.5</v>
      </c>
      <c r="AJ33" s="26">
        <v>3</v>
      </c>
      <c r="AK33" s="26">
        <v>7</v>
      </c>
      <c r="AL33" s="27">
        <v>14.5</v>
      </c>
      <c r="AM33" s="27">
        <v>11.5</v>
      </c>
      <c r="AN33" s="27">
        <f t="shared" si="8"/>
        <v>166.75</v>
      </c>
      <c r="AO33" s="28">
        <f t="shared" si="22"/>
        <v>77.693370165745861</v>
      </c>
      <c r="AP33" s="28">
        <f t="shared" si="23"/>
        <v>98.08962868117797</v>
      </c>
      <c r="AQ33" s="28">
        <f t="shared" si="24"/>
        <v>96.527758625444719</v>
      </c>
      <c r="AR33" s="28">
        <f t="shared" si="25"/>
        <v>80.380337078651692</v>
      </c>
      <c r="AS33" s="28">
        <f t="shared" si="26"/>
        <v>88.483146067415731</v>
      </c>
      <c r="AT33" s="28">
        <f t="shared" si="9"/>
        <v>87.155870533520201</v>
      </c>
      <c r="AU33" s="11"/>
      <c r="AV33" s="30"/>
      <c r="AW33" s="30"/>
      <c r="AX33" s="30"/>
      <c r="AY33" s="29"/>
      <c r="AZ33" s="30"/>
      <c r="BA33" s="30"/>
      <c r="BB33" s="29"/>
      <c r="BC33" s="30"/>
      <c r="BD33" s="30"/>
      <c r="BE33" s="30"/>
      <c r="BF33" s="30"/>
      <c r="BG33" s="30"/>
      <c r="BH33" s="29"/>
      <c r="BI33" s="30"/>
      <c r="BJ33" s="30"/>
      <c r="BK33" s="30"/>
      <c r="BL33" s="29"/>
      <c r="BM33" s="30"/>
      <c r="BN33" s="29"/>
      <c r="BO33" s="30"/>
      <c r="BP33" s="30"/>
      <c r="BQ33" s="30"/>
      <c r="BR33" s="30"/>
      <c r="BS33" s="31"/>
      <c r="BT33" s="30"/>
      <c r="BU33" s="30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</row>
    <row r="34" spans="1:251" s="49" customFormat="1" ht="15.75" x14ac:dyDescent="0.25">
      <c r="A34" s="35"/>
      <c r="B34" s="35"/>
      <c r="C34" s="35"/>
      <c r="D34" s="49" t="s">
        <v>184</v>
      </c>
      <c r="E34" s="50"/>
      <c r="F34" s="35"/>
      <c r="G34" s="51"/>
      <c r="H34" s="51"/>
      <c r="I34" s="51"/>
      <c r="J34" s="52"/>
      <c r="K34" s="53"/>
      <c r="L34" s="54"/>
      <c r="M34" s="54"/>
      <c r="N34" s="54"/>
      <c r="O34" s="54"/>
      <c r="P34" s="59"/>
      <c r="Q34" s="59"/>
      <c r="R34" s="59"/>
      <c r="S34" s="59"/>
      <c r="T34" s="59"/>
      <c r="U34" s="67"/>
      <c r="V34" s="59"/>
      <c r="W34" s="68"/>
      <c r="X34" s="59"/>
      <c r="Y34" s="65">
        <f>AVERAGE(Y19:Y33)</f>
        <v>3.0335777176632579</v>
      </c>
      <c r="Z34" s="59"/>
      <c r="AA34" s="65">
        <f>AVERAGE(AA19:AA33)</f>
        <v>3.6184523809523816</v>
      </c>
      <c r="AB34" s="69"/>
      <c r="AC34" s="61"/>
      <c r="AD34" s="65">
        <f>AVERAGE(AD19:AD33)</f>
        <v>12.376926666666664</v>
      </c>
      <c r="AE34" s="65">
        <f>AVERAGE(AE19:AE33)</f>
        <v>1.1034080210827708</v>
      </c>
      <c r="AF34" s="66"/>
      <c r="AG34" s="65">
        <f>AVERAGE(AG19:AG33)</f>
        <v>3.5569219999999997</v>
      </c>
      <c r="AH34" s="66"/>
      <c r="AI34" s="65">
        <f>AVERAGE(AI19:AI33)</f>
        <v>35.56666666666667</v>
      </c>
      <c r="AJ34" s="70"/>
      <c r="AK34" s="70"/>
      <c r="AL34" s="71"/>
      <c r="AM34" s="71"/>
      <c r="AN34" s="71"/>
      <c r="AO34" s="65">
        <f t="shared" ref="AO34:AT34" si="27">AVERAGE(AO19:AO33)</f>
        <v>99.957248092607216</v>
      </c>
      <c r="AP34" s="65">
        <f t="shared" si="27"/>
        <v>100.30982009843372</v>
      </c>
      <c r="AQ34" s="65">
        <f t="shared" si="27"/>
        <v>100.11807649053657</v>
      </c>
      <c r="AR34" s="65">
        <f t="shared" si="27"/>
        <v>99.913539325842706</v>
      </c>
      <c r="AS34" s="65">
        <f t="shared" si="27"/>
        <v>99.906367041198493</v>
      </c>
      <c r="AT34" s="65">
        <f t="shared" si="27"/>
        <v>100.04609831486461</v>
      </c>
      <c r="AU34" s="35"/>
      <c r="AV34" s="73"/>
      <c r="AW34" s="73"/>
      <c r="AX34" s="73"/>
      <c r="AY34" s="72"/>
      <c r="AZ34" s="73"/>
      <c r="BA34" s="73"/>
      <c r="BB34" s="72"/>
      <c r="BC34" s="73"/>
      <c r="BD34" s="73"/>
      <c r="BE34" s="73"/>
      <c r="BF34" s="73"/>
      <c r="BG34" s="73"/>
      <c r="BH34" s="72"/>
      <c r="BI34" s="73"/>
      <c r="BJ34" s="73"/>
      <c r="BK34" s="73"/>
      <c r="BL34" s="72"/>
      <c r="BM34" s="73"/>
      <c r="BN34" s="72"/>
      <c r="BO34" s="73"/>
      <c r="BP34" s="73"/>
      <c r="BQ34" s="73"/>
      <c r="BR34" s="73"/>
      <c r="BS34" s="74"/>
      <c r="BT34" s="73"/>
      <c r="BU34" s="73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</row>
    <row r="35" spans="1:251" s="32" customFormat="1" x14ac:dyDescent="0.2">
      <c r="A35" s="11"/>
      <c r="B35" s="11"/>
      <c r="C35" s="11"/>
      <c r="E35" s="12"/>
      <c r="F35" s="11"/>
      <c r="G35" s="13"/>
      <c r="H35" s="13"/>
      <c r="I35" s="13"/>
      <c r="J35" s="14"/>
      <c r="K35" s="15"/>
      <c r="L35" s="16"/>
      <c r="M35" s="16"/>
      <c r="N35" s="16"/>
      <c r="O35" s="16"/>
      <c r="P35" s="17"/>
      <c r="Q35" s="17"/>
      <c r="R35" s="17"/>
      <c r="S35" s="17"/>
      <c r="T35" s="17"/>
      <c r="U35" s="18"/>
      <c r="V35" s="17"/>
      <c r="W35" s="19"/>
      <c r="X35" s="17"/>
      <c r="Y35" s="20"/>
      <c r="Z35" s="17"/>
      <c r="AA35" s="20"/>
      <c r="AB35" s="21"/>
      <c r="AC35" s="22"/>
      <c r="AD35" s="23"/>
      <c r="AE35" s="24"/>
      <c r="AF35" s="23"/>
      <c r="AG35" s="23"/>
      <c r="AH35" s="23"/>
      <c r="AI35" s="25"/>
      <c r="AJ35" s="26"/>
      <c r="AK35" s="26"/>
      <c r="AL35" s="27"/>
      <c r="AM35" s="27"/>
      <c r="AN35" s="27"/>
      <c r="AO35" s="28"/>
      <c r="AP35" s="28"/>
      <c r="AQ35" s="28"/>
      <c r="AR35" s="28"/>
      <c r="AS35" s="28"/>
      <c r="AT35" s="28"/>
      <c r="AU35" s="11"/>
      <c r="AV35" s="30"/>
      <c r="AW35" s="30"/>
      <c r="AX35" s="30"/>
      <c r="AY35" s="29"/>
      <c r="AZ35" s="30"/>
      <c r="BA35" s="30"/>
      <c r="BB35" s="29"/>
      <c r="BC35" s="30"/>
      <c r="BD35" s="30"/>
      <c r="BE35" s="30"/>
      <c r="BF35" s="30"/>
      <c r="BG35" s="30"/>
      <c r="BH35" s="29"/>
      <c r="BI35" s="30"/>
      <c r="BJ35" s="30"/>
      <c r="BK35" s="30"/>
      <c r="BL35" s="29"/>
      <c r="BM35" s="30"/>
      <c r="BN35" s="29"/>
      <c r="BO35" s="30"/>
      <c r="BP35" s="30"/>
      <c r="BQ35" s="30"/>
      <c r="BR35" s="30"/>
      <c r="BS35" s="31"/>
      <c r="BT35" s="30"/>
      <c r="BU35" s="30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</row>
    <row r="36" spans="1:251" s="32" customFormat="1" x14ac:dyDescent="0.2">
      <c r="A36" s="16">
        <v>84</v>
      </c>
      <c r="B36" s="11" t="s">
        <v>46</v>
      </c>
      <c r="C36" s="11" t="s">
        <v>173</v>
      </c>
      <c r="D36" s="11" t="s">
        <v>155</v>
      </c>
      <c r="E36" s="12" t="s">
        <v>156</v>
      </c>
      <c r="F36" s="11" t="s">
        <v>59</v>
      </c>
      <c r="G36" s="13">
        <v>42813</v>
      </c>
      <c r="H36" s="13"/>
      <c r="I36" s="13">
        <v>43041</v>
      </c>
      <c r="J36" s="14">
        <v>43152</v>
      </c>
      <c r="K36" s="15">
        <v>120</v>
      </c>
      <c r="L36" s="16">
        <f t="shared" si="0"/>
        <v>339</v>
      </c>
      <c r="M36" s="16">
        <v>720</v>
      </c>
      <c r="N36" s="16">
        <v>758</v>
      </c>
      <c r="O36" s="16">
        <v>760</v>
      </c>
      <c r="P36" s="17">
        <f t="shared" si="1"/>
        <v>759</v>
      </c>
      <c r="Q36" s="17"/>
      <c r="R36" s="17"/>
      <c r="S36" s="17"/>
      <c r="T36" s="17"/>
      <c r="U36" s="18">
        <v>1235</v>
      </c>
      <c r="V36" s="17">
        <v>1235</v>
      </c>
      <c r="W36" s="17">
        <v>1235</v>
      </c>
      <c r="X36" s="17">
        <f t="shared" si="2"/>
        <v>1235</v>
      </c>
      <c r="Y36" s="20">
        <f t="shared" si="3"/>
        <v>3.6430678466076696</v>
      </c>
      <c r="Z36" s="17">
        <f t="shared" si="4"/>
        <v>476</v>
      </c>
      <c r="AA36" s="20">
        <f t="shared" si="5"/>
        <v>4.25</v>
      </c>
      <c r="AB36" s="21">
        <v>54.5</v>
      </c>
      <c r="AC36" s="22">
        <f t="shared" si="6"/>
        <v>8.0945935700000007</v>
      </c>
      <c r="AD36" s="23">
        <v>13.5069</v>
      </c>
      <c r="AE36" s="24">
        <f t="shared" si="7"/>
        <v>1.0936761133603239</v>
      </c>
      <c r="AF36" s="23">
        <v>0.19906199999999999</v>
      </c>
      <c r="AG36" s="23">
        <v>4.3548299999999998</v>
      </c>
      <c r="AH36" s="23">
        <v>0.30430699999999999</v>
      </c>
      <c r="AI36" s="25">
        <v>36</v>
      </c>
      <c r="AJ36" s="26">
        <v>3</v>
      </c>
      <c r="AK36" s="26">
        <v>7</v>
      </c>
      <c r="AL36" s="27">
        <v>17</v>
      </c>
      <c r="AM36" s="27">
        <v>14</v>
      </c>
      <c r="AN36" s="27">
        <f t="shared" si="8"/>
        <v>238</v>
      </c>
      <c r="AO36" s="28">
        <f>(AA36/3.64)*100</f>
        <v>116.75824175824177</v>
      </c>
      <c r="AP36" s="28">
        <f>(AE36/1.17)*100</f>
        <v>93.476590885497785</v>
      </c>
      <c r="AQ36" s="28">
        <f>(Y36/2.97)*100</f>
        <v>122.66221705749729</v>
      </c>
      <c r="AR36" s="28">
        <f>(AG36/3.71)*100</f>
        <v>117.38086253369271</v>
      </c>
      <c r="AS36" s="28">
        <f>(AI36/33.6)*100</f>
        <v>107.14285714285714</v>
      </c>
      <c r="AT36" s="28">
        <f t="shared" si="9"/>
        <v>112.44569233709581</v>
      </c>
      <c r="AU36" s="11" t="s">
        <v>202</v>
      </c>
      <c r="AV36" s="11"/>
      <c r="AW36" s="11"/>
      <c r="AX36" s="34"/>
      <c r="AY36" s="16"/>
      <c r="AZ36" s="34"/>
      <c r="BA36" s="34"/>
      <c r="BB36" s="16"/>
      <c r="BC36" s="16"/>
      <c r="BD36" s="11"/>
      <c r="BE36" s="11"/>
      <c r="BF36" s="11"/>
      <c r="BG36" s="34"/>
      <c r="BH36" s="16"/>
      <c r="BI36" s="34"/>
      <c r="BJ36" s="34"/>
      <c r="BK36" s="11"/>
      <c r="BL36" s="11"/>
      <c r="BM36" s="11"/>
      <c r="BN36" s="11"/>
      <c r="BO36" s="34"/>
      <c r="BP36" s="11"/>
      <c r="BQ36" s="11"/>
      <c r="BR36" s="11"/>
      <c r="BS36" s="25"/>
      <c r="BT36" s="34"/>
      <c r="BU36" s="34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</row>
    <row r="37" spans="1:251" x14ac:dyDescent="0.2">
      <c r="A37" s="11">
        <v>29</v>
      </c>
      <c r="B37" s="11" t="s">
        <v>46</v>
      </c>
      <c r="C37" s="11" t="s">
        <v>173</v>
      </c>
      <c r="D37" s="32" t="s">
        <v>103</v>
      </c>
      <c r="E37" s="12" t="s">
        <v>92</v>
      </c>
      <c r="F37" s="11" t="s">
        <v>59</v>
      </c>
      <c r="G37" s="13">
        <v>42818</v>
      </c>
      <c r="I37" s="13">
        <v>43041</v>
      </c>
      <c r="J37" s="14">
        <v>43152</v>
      </c>
      <c r="K37" s="37">
        <v>106</v>
      </c>
      <c r="L37" s="16">
        <f t="shared" si="0"/>
        <v>334</v>
      </c>
      <c r="M37" s="16">
        <v>638</v>
      </c>
      <c r="N37" s="16">
        <v>694</v>
      </c>
      <c r="O37" s="16">
        <v>684</v>
      </c>
      <c r="P37" s="17">
        <f t="shared" si="1"/>
        <v>689</v>
      </c>
      <c r="U37" s="18">
        <v>1140</v>
      </c>
      <c r="V37" s="17">
        <v>1175</v>
      </c>
      <c r="W37" s="17">
        <v>1165</v>
      </c>
      <c r="X37" s="17">
        <f t="shared" si="2"/>
        <v>1170</v>
      </c>
      <c r="Y37" s="20">
        <f t="shared" si="3"/>
        <v>3.5029940119760479</v>
      </c>
      <c r="Z37" s="17">
        <f t="shared" si="4"/>
        <v>481</v>
      </c>
      <c r="AA37" s="20">
        <f t="shared" si="5"/>
        <v>4.2946428571428568</v>
      </c>
      <c r="AB37" s="21">
        <v>51</v>
      </c>
      <c r="AC37" s="22">
        <f t="shared" si="6"/>
        <v>6.4181309200000012</v>
      </c>
      <c r="AD37" s="23">
        <v>13.038600000000001</v>
      </c>
      <c r="AE37" s="24">
        <f t="shared" si="7"/>
        <v>1.1437368421052632</v>
      </c>
      <c r="AF37" s="23">
        <v>0.152502</v>
      </c>
      <c r="AG37" s="23">
        <v>3.68005</v>
      </c>
      <c r="AH37" s="23">
        <v>0.148864</v>
      </c>
      <c r="AI37" s="25">
        <v>33</v>
      </c>
      <c r="AJ37" s="26">
        <v>2</v>
      </c>
      <c r="AK37" s="26">
        <v>6</v>
      </c>
      <c r="AL37" s="27">
        <v>14.5</v>
      </c>
      <c r="AM37" s="27">
        <v>11</v>
      </c>
      <c r="AN37" s="27">
        <f t="shared" si="8"/>
        <v>159.5</v>
      </c>
      <c r="AO37" s="28">
        <f t="shared" ref="AO37:AO46" si="28">(AA37/3.64)*100</f>
        <v>117.98469387755102</v>
      </c>
      <c r="AP37" s="28">
        <f t="shared" ref="AP37:AP46" si="29">(AE37/1.17)*100</f>
        <v>97.7552856500225</v>
      </c>
      <c r="AQ37" s="28">
        <f t="shared" ref="AQ37:AQ46" si="30">(Y37/2.97)*100</f>
        <v>117.94592632915986</v>
      </c>
      <c r="AR37" s="28">
        <f t="shared" ref="AR37:AR46" si="31">(AG37/3.71)*100</f>
        <v>99.192722371967662</v>
      </c>
      <c r="AS37" s="28">
        <f t="shared" ref="AS37:AS46" si="32">(AI37/33.6)*100</f>
        <v>98.214285714285708</v>
      </c>
      <c r="AT37" s="28">
        <f t="shared" si="9"/>
        <v>108.19562360492388</v>
      </c>
      <c r="AU37" s="11" t="s">
        <v>203</v>
      </c>
    </row>
    <row r="38" spans="1:251" ht="15.75" x14ac:dyDescent="0.25">
      <c r="A38" s="11">
        <v>30</v>
      </c>
      <c r="B38" s="11" t="s">
        <v>46</v>
      </c>
      <c r="C38" s="11" t="s">
        <v>173</v>
      </c>
      <c r="D38" s="32" t="s">
        <v>103</v>
      </c>
      <c r="E38" s="12" t="s">
        <v>93</v>
      </c>
      <c r="F38" s="11" t="s">
        <v>59</v>
      </c>
      <c r="G38" s="13">
        <v>42763</v>
      </c>
      <c r="I38" s="13">
        <v>43041</v>
      </c>
      <c r="J38" s="14">
        <v>43152</v>
      </c>
      <c r="K38" s="37">
        <v>106</v>
      </c>
      <c r="L38" s="16">
        <f t="shared" si="0"/>
        <v>389</v>
      </c>
      <c r="M38" s="16">
        <v>784</v>
      </c>
      <c r="N38" s="16">
        <v>846</v>
      </c>
      <c r="O38" s="16">
        <v>864</v>
      </c>
      <c r="P38" s="17">
        <f t="shared" si="1"/>
        <v>855</v>
      </c>
      <c r="U38" s="18">
        <v>1285</v>
      </c>
      <c r="V38" s="17">
        <v>1325</v>
      </c>
      <c r="W38" s="17">
        <v>1315</v>
      </c>
      <c r="X38" s="17">
        <f t="shared" si="2"/>
        <v>1320</v>
      </c>
      <c r="Y38" s="20">
        <f t="shared" si="3"/>
        <v>3.3933161953727504</v>
      </c>
      <c r="Z38" s="17">
        <f t="shared" si="4"/>
        <v>465</v>
      </c>
      <c r="AA38" s="20">
        <f t="shared" si="5"/>
        <v>4.1517857142857144</v>
      </c>
      <c r="AB38" s="21">
        <v>55</v>
      </c>
      <c r="AC38" s="22">
        <f t="shared" si="6"/>
        <v>7.6997128700000017</v>
      </c>
      <c r="AD38" s="23">
        <v>14.0877</v>
      </c>
      <c r="AE38" s="24">
        <f t="shared" si="7"/>
        <v>1.0963190661478599</v>
      </c>
      <c r="AF38" s="23">
        <v>0.21233299999999999</v>
      </c>
      <c r="AG38" s="23">
        <v>3.87114</v>
      </c>
      <c r="AH38" s="23">
        <v>0.16090699999999999</v>
      </c>
      <c r="AI38" s="25">
        <v>37</v>
      </c>
      <c r="AJ38" s="26">
        <v>3</v>
      </c>
      <c r="AK38" s="26">
        <v>6</v>
      </c>
      <c r="AL38" s="27">
        <v>16</v>
      </c>
      <c r="AM38" s="27">
        <v>13</v>
      </c>
      <c r="AN38" s="27">
        <f t="shared" si="8"/>
        <v>208</v>
      </c>
      <c r="AO38" s="28">
        <f t="shared" si="28"/>
        <v>114.06004709576139</v>
      </c>
      <c r="AP38" s="28">
        <f t="shared" si="29"/>
        <v>93.702484286141868</v>
      </c>
      <c r="AQ38" s="28">
        <f t="shared" si="30"/>
        <v>114.25307055127105</v>
      </c>
      <c r="AR38" s="28">
        <f t="shared" si="31"/>
        <v>104.34339622641508</v>
      </c>
      <c r="AS38" s="28">
        <f t="shared" si="32"/>
        <v>110.11904761904761</v>
      </c>
      <c r="AT38" s="28">
        <f t="shared" si="9"/>
        <v>107.68970910339878</v>
      </c>
      <c r="AU38" s="35"/>
    </row>
    <row r="39" spans="1:251" x14ac:dyDescent="0.2">
      <c r="A39" s="16">
        <v>36</v>
      </c>
      <c r="B39" s="11" t="s">
        <v>46</v>
      </c>
      <c r="C39" s="11" t="s">
        <v>173</v>
      </c>
      <c r="D39" s="32" t="s">
        <v>103</v>
      </c>
      <c r="E39" s="12" t="s">
        <v>99</v>
      </c>
      <c r="F39" s="11" t="s">
        <v>59</v>
      </c>
      <c r="G39" s="13">
        <v>42825</v>
      </c>
      <c r="I39" s="13">
        <v>43041</v>
      </c>
      <c r="J39" s="14">
        <v>43152</v>
      </c>
      <c r="K39" s="37">
        <v>106</v>
      </c>
      <c r="L39" s="16">
        <f t="shared" si="0"/>
        <v>327</v>
      </c>
      <c r="M39" s="16">
        <v>542</v>
      </c>
      <c r="N39" s="16">
        <v>538</v>
      </c>
      <c r="O39" s="16">
        <v>564</v>
      </c>
      <c r="P39" s="17">
        <f t="shared" si="1"/>
        <v>551</v>
      </c>
      <c r="U39" s="18">
        <v>962</v>
      </c>
      <c r="V39" s="17">
        <v>984</v>
      </c>
      <c r="W39" s="17">
        <v>984</v>
      </c>
      <c r="X39" s="17">
        <f t="shared" si="2"/>
        <v>984</v>
      </c>
      <c r="Y39" s="20">
        <f t="shared" si="3"/>
        <v>3.0091743119266057</v>
      </c>
      <c r="Z39" s="17">
        <f t="shared" si="4"/>
        <v>433</v>
      </c>
      <c r="AA39" s="20">
        <f t="shared" si="5"/>
        <v>3.8660714285714284</v>
      </c>
      <c r="AB39" s="21">
        <v>51</v>
      </c>
      <c r="AC39" s="22">
        <f t="shared" si="6"/>
        <v>6.5184194299999998</v>
      </c>
      <c r="AD39" s="23">
        <v>10.7324</v>
      </c>
      <c r="AE39" s="24">
        <f t="shared" si="7"/>
        <v>1.1156340956340958</v>
      </c>
      <c r="AF39" s="23">
        <v>0.15925</v>
      </c>
      <c r="AG39" s="23">
        <v>4.3045299999999997</v>
      </c>
      <c r="AH39" s="23">
        <v>0.21357899999999999</v>
      </c>
      <c r="AI39" s="25">
        <v>31.5</v>
      </c>
      <c r="AJ39" s="26">
        <v>4</v>
      </c>
      <c r="AK39" s="26">
        <v>6</v>
      </c>
      <c r="AL39" s="27">
        <v>14.5</v>
      </c>
      <c r="AM39" s="27">
        <v>10.5</v>
      </c>
      <c r="AN39" s="27">
        <f t="shared" si="8"/>
        <v>152.25</v>
      </c>
      <c r="AO39" s="28">
        <f t="shared" si="28"/>
        <v>106.2107535321821</v>
      </c>
      <c r="AP39" s="28">
        <f t="shared" si="29"/>
        <v>95.353341507187679</v>
      </c>
      <c r="AQ39" s="28">
        <f t="shared" si="30"/>
        <v>101.3190004015692</v>
      </c>
      <c r="AR39" s="28">
        <f t="shared" si="31"/>
        <v>116.02506738544474</v>
      </c>
      <c r="AS39" s="28">
        <f t="shared" si="32"/>
        <v>93.75</v>
      </c>
      <c r="AT39" s="28">
        <f t="shared" si="9"/>
        <v>103.77770791849497</v>
      </c>
    </row>
    <row r="40" spans="1:251" x14ac:dyDescent="0.2">
      <c r="A40" s="16">
        <v>76</v>
      </c>
      <c r="B40" s="11" t="s">
        <v>46</v>
      </c>
      <c r="C40" s="11" t="s">
        <v>173</v>
      </c>
      <c r="D40" s="32" t="s">
        <v>142</v>
      </c>
      <c r="E40" s="12" t="s">
        <v>147</v>
      </c>
      <c r="F40" s="11" t="s">
        <v>59</v>
      </c>
      <c r="G40" s="13">
        <v>42749</v>
      </c>
      <c r="I40" s="13">
        <v>43041</v>
      </c>
      <c r="J40" s="14">
        <v>43152</v>
      </c>
      <c r="K40" s="15">
        <v>116</v>
      </c>
      <c r="L40" s="16">
        <f t="shared" si="0"/>
        <v>403</v>
      </c>
      <c r="M40" s="16">
        <v>744</v>
      </c>
      <c r="N40" s="16">
        <v>772</v>
      </c>
      <c r="O40" s="16">
        <v>780</v>
      </c>
      <c r="P40" s="17">
        <f t="shared" si="1"/>
        <v>776</v>
      </c>
      <c r="U40" s="18">
        <v>1155</v>
      </c>
      <c r="V40" s="17">
        <v>1195</v>
      </c>
      <c r="W40" s="17">
        <v>1195</v>
      </c>
      <c r="X40" s="17">
        <f t="shared" si="2"/>
        <v>1195</v>
      </c>
      <c r="Y40" s="20">
        <f t="shared" si="3"/>
        <v>2.9652605459057071</v>
      </c>
      <c r="Z40" s="17">
        <f t="shared" si="4"/>
        <v>419</v>
      </c>
      <c r="AA40" s="20">
        <f t="shared" si="5"/>
        <v>3.7410714285714284</v>
      </c>
      <c r="AB40" s="21">
        <v>50.5</v>
      </c>
      <c r="AC40" s="22">
        <f t="shared" si="6"/>
        <v>5.281043330000001</v>
      </c>
      <c r="AD40" s="23">
        <v>13.4467</v>
      </c>
      <c r="AE40" s="24">
        <f t="shared" si="7"/>
        <v>1.1642164502164503</v>
      </c>
      <c r="AF40" s="23">
        <v>9.9088700000000002E-2</v>
      </c>
      <c r="AG40" s="23">
        <v>3.20486</v>
      </c>
      <c r="AH40" s="23">
        <v>0.23117799999999999</v>
      </c>
      <c r="AI40" s="25">
        <v>36</v>
      </c>
      <c r="AJ40" s="26">
        <v>2</v>
      </c>
      <c r="AK40" s="26">
        <v>7</v>
      </c>
      <c r="AL40" s="27">
        <v>16.5</v>
      </c>
      <c r="AM40" s="27">
        <v>14.5</v>
      </c>
      <c r="AN40" s="27">
        <f t="shared" si="8"/>
        <v>239.25</v>
      </c>
      <c r="AO40" s="28">
        <f t="shared" si="28"/>
        <v>102.77668759811615</v>
      </c>
      <c r="AP40" s="28">
        <f t="shared" si="29"/>
        <v>99.50567950567951</v>
      </c>
      <c r="AQ40" s="28">
        <f t="shared" si="30"/>
        <v>99.840422421067572</v>
      </c>
      <c r="AR40" s="28">
        <f t="shared" si="31"/>
        <v>86.384366576819403</v>
      </c>
      <c r="AS40" s="28">
        <f t="shared" si="32"/>
        <v>107.14285714285714</v>
      </c>
      <c r="AT40" s="28">
        <f t="shared" si="9"/>
        <v>98.693385694433857</v>
      </c>
    </row>
    <row r="41" spans="1:251" ht="15.75" x14ac:dyDescent="0.25">
      <c r="A41" s="11">
        <v>95</v>
      </c>
      <c r="B41" s="11" t="s">
        <v>46</v>
      </c>
      <c r="C41" s="11" t="s">
        <v>173</v>
      </c>
      <c r="D41" s="32" t="s">
        <v>48</v>
      </c>
      <c r="E41" s="12" t="s">
        <v>178</v>
      </c>
      <c r="F41" s="11" t="s">
        <v>59</v>
      </c>
      <c r="G41" s="13">
        <v>42777</v>
      </c>
      <c r="I41" s="13">
        <v>43041</v>
      </c>
      <c r="J41" s="14">
        <v>43152</v>
      </c>
      <c r="K41" s="15">
        <v>127</v>
      </c>
      <c r="L41" s="16">
        <f t="shared" si="0"/>
        <v>375</v>
      </c>
      <c r="M41" s="16"/>
      <c r="N41" s="16">
        <v>562</v>
      </c>
      <c r="O41" s="16">
        <v>592</v>
      </c>
      <c r="P41" s="17">
        <f t="shared" si="1"/>
        <v>577</v>
      </c>
      <c r="U41" s="18">
        <v>954</v>
      </c>
      <c r="V41" s="17">
        <v>990</v>
      </c>
      <c r="W41" s="17">
        <v>962</v>
      </c>
      <c r="X41" s="17">
        <f t="shared" si="2"/>
        <v>976</v>
      </c>
      <c r="Y41" s="20">
        <f t="shared" si="3"/>
        <v>2.6026666666666665</v>
      </c>
      <c r="Z41" s="17">
        <f t="shared" si="4"/>
        <v>399</v>
      </c>
      <c r="AA41" s="20">
        <f t="shared" si="5"/>
        <v>3.5625</v>
      </c>
      <c r="AB41" s="21">
        <v>50</v>
      </c>
      <c r="AC41" s="22">
        <f t="shared" si="6"/>
        <v>5.3687187500000002</v>
      </c>
      <c r="AD41" s="23">
        <v>12.135999999999999</v>
      </c>
      <c r="AE41" s="24">
        <f t="shared" si="7"/>
        <v>1.2721174004192872</v>
      </c>
      <c r="AF41" s="23">
        <v>0.16986599999999999</v>
      </c>
      <c r="AG41" s="23">
        <v>3.7670300000000001</v>
      </c>
      <c r="AH41" s="23">
        <v>0.148839</v>
      </c>
      <c r="AI41" s="25">
        <v>29</v>
      </c>
      <c r="AJ41" s="26">
        <v>1</v>
      </c>
      <c r="AK41" s="26">
        <v>6</v>
      </c>
      <c r="AL41" s="27">
        <v>14.5</v>
      </c>
      <c r="AM41" s="27">
        <v>11</v>
      </c>
      <c r="AN41" s="27">
        <f t="shared" si="8"/>
        <v>159.5</v>
      </c>
      <c r="AO41" s="28">
        <f t="shared" si="28"/>
        <v>97.870879120879124</v>
      </c>
      <c r="AP41" s="28">
        <f t="shared" si="29"/>
        <v>108.72798294181942</v>
      </c>
      <c r="AQ41" s="28">
        <f t="shared" si="30"/>
        <v>87.631874298540964</v>
      </c>
      <c r="AR41" s="28">
        <f t="shared" si="31"/>
        <v>101.53719676549866</v>
      </c>
      <c r="AS41" s="28">
        <f t="shared" si="32"/>
        <v>86.309523809523796</v>
      </c>
      <c r="AT41" s="28">
        <f t="shared" si="9"/>
        <v>97.571626918387935</v>
      </c>
      <c r="AU41" s="35"/>
    </row>
    <row r="42" spans="1:251" x14ac:dyDescent="0.2">
      <c r="A42" s="11">
        <v>52</v>
      </c>
      <c r="B42" s="11" t="s">
        <v>46</v>
      </c>
      <c r="C42" s="11" t="s">
        <v>173</v>
      </c>
      <c r="D42" s="11" t="s">
        <v>117</v>
      </c>
      <c r="E42" s="12" t="s">
        <v>119</v>
      </c>
      <c r="F42" s="11" t="s">
        <v>59</v>
      </c>
      <c r="G42" s="13">
        <v>42759</v>
      </c>
      <c r="I42" s="13">
        <v>43041</v>
      </c>
      <c r="J42" s="14">
        <v>43152</v>
      </c>
      <c r="K42" s="15">
        <v>111</v>
      </c>
      <c r="L42" s="16">
        <f t="shared" si="0"/>
        <v>393</v>
      </c>
      <c r="M42" s="16">
        <v>448</v>
      </c>
      <c r="N42" s="16">
        <v>476</v>
      </c>
      <c r="O42" s="16">
        <v>471</v>
      </c>
      <c r="P42" s="17">
        <f t="shared" si="1"/>
        <v>473.5</v>
      </c>
      <c r="U42" s="18">
        <v>838</v>
      </c>
      <c r="V42" s="17">
        <v>850</v>
      </c>
      <c r="W42" s="19">
        <v>872</v>
      </c>
      <c r="X42" s="17">
        <f t="shared" si="2"/>
        <v>861</v>
      </c>
      <c r="Y42" s="20">
        <f t="shared" si="3"/>
        <v>2.1908396946564888</v>
      </c>
      <c r="Z42" s="17">
        <f t="shared" si="4"/>
        <v>387.5</v>
      </c>
      <c r="AA42" s="20">
        <f t="shared" si="5"/>
        <v>3.4598214285714284</v>
      </c>
      <c r="AB42" s="21">
        <v>50</v>
      </c>
      <c r="AC42" s="22">
        <f t="shared" si="6"/>
        <v>5.1477320300000002</v>
      </c>
      <c r="AD42" s="23">
        <v>10.283200000000001</v>
      </c>
      <c r="AE42" s="24">
        <f t="shared" si="7"/>
        <v>1.2271121718377089</v>
      </c>
      <c r="AF42" s="23">
        <v>0.117312</v>
      </c>
      <c r="AG42" s="23">
        <v>4.4187200000000004</v>
      </c>
      <c r="AH42" s="23">
        <v>0.17843500000000001</v>
      </c>
      <c r="AI42" s="25">
        <v>31.5</v>
      </c>
      <c r="AJ42" s="26">
        <v>4</v>
      </c>
      <c r="AK42" s="26">
        <v>6</v>
      </c>
      <c r="AL42" s="27">
        <v>14</v>
      </c>
      <c r="AM42" s="27">
        <v>10</v>
      </c>
      <c r="AN42" s="27">
        <f t="shared" si="8"/>
        <v>140</v>
      </c>
      <c r="AO42" s="28">
        <f t="shared" si="28"/>
        <v>95.050039246467804</v>
      </c>
      <c r="AP42" s="28">
        <f t="shared" si="29"/>
        <v>104.8813822083512</v>
      </c>
      <c r="AQ42" s="28">
        <f t="shared" si="30"/>
        <v>73.765646284730252</v>
      </c>
      <c r="AR42" s="28">
        <f t="shared" si="31"/>
        <v>119.10296495956874</v>
      </c>
      <c r="AS42" s="28">
        <f t="shared" si="32"/>
        <v>93.75</v>
      </c>
      <c r="AT42" s="28">
        <f t="shared" si="9"/>
        <v>97.44001046447039</v>
      </c>
      <c r="AV42" s="30"/>
      <c r="AW42" s="30"/>
      <c r="AX42" s="30"/>
      <c r="AY42" s="29"/>
      <c r="AZ42" s="30"/>
      <c r="BA42" s="30"/>
      <c r="BB42" s="29"/>
      <c r="BC42" s="30"/>
      <c r="BD42" s="30"/>
      <c r="BE42" s="30"/>
      <c r="BF42" s="30"/>
      <c r="BG42" s="30"/>
      <c r="BH42" s="29"/>
      <c r="BI42" s="30"/>
      <c r="BJ42" s="30"/>
      <c r="BK42" s="30"/>
      <c r="BL42" s="29"/>
      <c r="BM42" s="30"/>
      <c r="BN42" s="29"/>
      <c r="BO42" s="30"/>
      <c r="BP42" s="30"/>
      <c r="BQ42" s="30"/>
      <c r="BR42" s="30"/>
      <c r="BS42" s="31"/>
      <c r="BT42" s="30"/>
      <c r="BU42" s="30"/>
    </row>
    <row r="43" spans="1:251" x14ac:dyDescent="0.2">
      <c r="A43" s="16">
        <v>40</v>
      </c>
      <c r="B43" s="11" t="s">
        <v>46</v>
      </c>
      <c r="C43" s="11" t="s">
        <v>173</v>
      </c>
      <c r="D43" s="32" t="s">
        <v>103</v>
      </c>
      <c r="E43" s="12" t="s">
        <v>102</v>
      </c>
      <c r="F43" s="11" t="s">
        <v>59</v>
      </c>
      <c r="G43" s="13">
        <v>42846</v>
      </c>
      <c r="I43" s="13">
        <v>43041</v>
      </c>
      <c r="J43" s="14">
        <v>43152</v>
      </c>
      <c r="K43" s="37">
        <v>106</v>
      </c>
      <c r="L43" s="16">
        <f t="shared" si="0"/>
        <v>306</v>
      </c>
      <c r="M43" s="16">
        <v>588</v>
      </c>
      <c r="N43" s="16">
        <v>658</v>
      </c>
      <c r="O43" s="16">
        <v>646</v>
      </c>
      <c r="P43" s="17">
        <f t="shared" si="1"/>
        <v>652</v>
      </c>
      <c r="U43" s="18">
        <v>998</v>
      </c>
      <c r="V43" s="17">
        <v>1010</v>
      </c>
      <c r="W43" s="17">
        <v>1020</v>
      </c>
      <c r="X43" s="17">
        <f t="shared" si="2"/>
        <v>1015</v>
      </c>
      <c r="Y43" s="20">
        <f t="shared" si="3"/>
        <v>3.3169934640522878</v>
      </c>
      <c r="Z43" s="17">
        <f t="shared" si="4"/>
        <v>363</v>
      </c>
      <c r="AA43" s="20">
        <f t="shared" si="5"/>
        <v>3.2410714285714284</v>
      </c>
      <c r="AB43" s="21">
        <v>52</v>
      </c>
      <c r="AC43" s="22">
        <f t="shared" si="6"/>
        <v>7.3287537200000017</v>
      </c>
      <c r="AD43" s="23">
        <v>12.3353</v>
      </c>
      <c r="AE43" s="24">
        <f t="shared" si="7"/>
        <v>1.2360020040080162</v>
      </c>
      <c r="AF43" s="23">
        <v>0.167517</v>
      </c>
      <c r="AG43" s="23">
        <v>2.5761099999999999</v>
      </c>
      <c r="AH43" s="23">
        <v>0.12598500000000001</v>
      </c>
      <c r="AI43" s="25">
        <v>38</v>
      </c>
      <c r="AJ43" s="26">
        <v>3</v>
      </c>
      <c r="AK43" s="26">
        <v>6</v>
      </c>
      <c r="AL43" s="27">
        <v>14</v>
      </c>
      <c r="AM43" s="27">
        <v>10</v>
      </c>
      <c r="AN43" s="27">
        <f t="shared" si="8"/>
        <v>140</v>
      </c>
      <c r="AO43" s="28">
        <f t="shared" si="28"/>
        <v>89.040423861852418</v>
      </c>
      <c r="AP43" s="28">
        <f t="shared" si="29"/>
        <v>105.64119692376208</v>
      </c>
      <c r="AQ43" s="28">
        <f t="shared" si="30"/>
        <v>111.68328161792213</v>
      </c>
      <c r="AR43" s="28">
        <f t="shared" si="31"/>
        <v>69.436927223719678</v>
      </c>
      <c r="AS43" s="28">
        <f t="shared" si="32"/>
        <v>113.09523809523809</v>
      </c>
      <c r="AT43" s="28">
        <f t="shared" si="9"/>
        <v>95.373932121160323</v>
      </c>
    </row>
    <row r="44" spans="1:251" x14ac:dyDescent="0.2">
      <c r="A44" s="11">
        <v>75</v>
      </c>
      <c r="B44" s="11" t="s">
        <v>46</v>
      </c>
      <c r="C44" s="11" t="s">
        <v>173</v>
      </c>
      <c r="D44" s="32" t="s">
        <v>142</v>
      </c>
      <c r="E44" s="33" t="s">
        <v>146</v>
      </c>
      <c r="F44" s="11" t="s">
        <v>59</v>
      </c>
      <c r="G44" s="13">
        <v>42804</v>
      </c>
      <c r="I44" s="13">
        <v>43041</v>
      </c>
      <c r="J44" s="14">
        <v>43152</v>
      </c>
      <c r="K44" s="15">
        <v>116</v>
      </c>
      <c r="L44" s="16">
        <f t="shared" si="0"/>
        <v>348</v>
      </c>
      <c r="M44" s="16">
        <v>618</v>
      </c>
      <c r="N44" s="11">
        <v>644</v>
      </c>
      <c r="O44" s="16">
        <v>640</v>
      </c>
      <c r="P44" s="17">
        <f t="shared" si="1"/>
        <v>642</v>
      </c>
      <c r="U44" s="18">
        <v>1015</v>
      </c>
      <c r="V44" s="17">
        <v>1035</v>
      </c>
      <c r="W44" s="17">
        <v>1040</v>
      </c>
      <c r="X44" s="17">
        <f t="shared" si="2"/>
        <v>1037.5</v>
      </c>
      <c r="Y44" s="20">
        <f t="shared" si="3"/>
        <v>2.9813218390804597</v>
      </c>
      <c r="Z44" s="17">
        <f t="shared" si="4"/>
        <v>395.5</v>
      </c>
      <c r="AA44" s="20">
        <f t="shared" si="5"/>
        <v>3.53125</v>
      </c>
      <c r="AB44" s="21">
        <v>50.5</v>
      </c>
      <c r="AC44" s="22">
        <f t="shared" si="6"/>
        <v>5.9735664800000006</v>
      </c>
      <c r="AD44" s="23">
        <v>11.0153</v>
      </c>
      <c r="AE44" s="24">
        <f t="shared" si="7"/>
        <v>1.0852512315270937</v>
      </c>
      <c r="AF44" s="23">
        <v>0.17868200000000001</v>
      </c>
      <c r="AG44" s="23">
        <v>3.4393899999999999</v>
      </c>
      <c r="AH44" s="23">
        <v>0.17843500000000001</v>
      </c>
      <c r="AI44" s="25">
        <v>30</v>
      </c>
      <c r="AJ44" s="26">
        <v>3</v>
      </c>
      <c r="AK44" s="26">
        <v>6</v>
      </c>
      <c r="AL44" s="27">
        <v>15</v>
      </c>
      <c r="AM44" s="27">
        <v>12</v>
      </c>
      <c r="AN44" s="27">
        <f t="shared" si="8"/>
        <v>180</v>
      </c>
      <c r="AO44" s="28">
        <f t="shared" si="28"/>
        <v>97.012362637362642</v>
      </c>
      <c r="AP44" s="28">
        <f t="shared" si="29"/>
        <v>92.756515515136215</v>
      </c>
      <c r="AQ44" s="28">
        <f t="shared" si="30"/>
        <v>100.38120670304578</v>
      </c>
      <c r="AR44" s="28">
        <f t="shared" si="31"/>
        <v>92.705929919137461</v>
      </c>
      <c r="AS44" s="28">
        <f t="shared" si="32"/>
        <v>89.285714285714278</v>
      </c>
      <c r="AT44" s="28">
        <f t="shared" si="9"/>
        <v>95.201010647244118</v>
      </c>
    </row>
    <row r="45" spans="1:251" x14ac:dyDescent="0.2">
      <c r="A45" s="16">
        <v>50</v>
      </c>
      <c r="B45" s="11" t="s">
        <v>46</v>
      </c>
      <c r="C45" s="11" t="s">
        <v>173</v>
      </c>
      <c r="D45" s="11" t="s">
        <v>114</v>
      </c>
      <c r="E45" s="12" t="s">
        <v>116</v>
      </c>
      <c r="F45" s="11" t="s">
        <v>59</v>
      </c>
      <c r="G45" s="13">
        <v>42759</v>
      </c>
      <c r="I45" s="13">
        <v>43041</v>
      </c>
      <c r="J45" s="14">
        <v>43152</v>
      </c>
      <c r="K45" s="15">
        <v>110</v>
      </c>
      <c r="L45" s="16">
        <f t="shared" si="0"/>
        <v>393</v>
      </c>
      <c r="M45" s="16">
        <v>798</v>
      </c>
      <c r="N45" s="16">
        <v>840</v>
      </c>
      <c r="O45" s="16">
        <v>876</v>
      </c>
      <c r="P45" s="17">
        <f t="shared" si="1"/>
        <v>858</v>
      </c>
      <c r="U45" s="18">
        <v>1185</v>
      </c>
      <c r="V45" s="17">
        <v>1190</v>
      </c>
      <c r="W45" s="17">
        <v>1185</v>
      </c>
      <c r="X45" s="17">
        <f t="shared" si="2"/>
        <v>1187.5</v>
      </c>
      <c r="Y45" s="20">
        <f t="shared" si="3"/>
        <v>3.0216284987277353</v>
      </c>
      <c r="Z45" s="17">
        <f t="shared" si="4"/>
        <v>329.5</v>
      </c>
      <c r="AA45" s="20">
        <f t="shared" si="5"/>
        <v>2.9419642857142856</v>
      </c>
      <c r="AB45" s="21">
        <v>53</v>
      </c>
      <c r="AC45" s="22">
        <f t="shared" si="6"/>
        <v>6.6505106300000012</v>
      </c>
      <c r="AD45" s="23">
        <v>13.8927</v>
      </c>
      <c r="AE45" s="24">
        <f t="shared" si="7"/>
        <v>1.1723797468354429</v>
      </c>
      <c r="AF45" s="23">
        <v>0.14155499999999999</v>
      </c>
      <c r="AG45" s="23">
        <v>3.2054900000000002</v>
      </c>
      <c r="AH45" s="23">
        <v>0.22325800000000001</v>
      </c>
      <c r="AI45" s="25">
        <v>37</v>
      </c>
      <c r="AJ45" s="26">
        <v>4</v>
      </c>
      <c r="AK45" s="26">
        <v>6</v>
      </c>
      <c r="AL45" s="27">
        <v>15</v>
      </c>
      <c r="AM45" s="27">
        <v>12</v>
      </c>
      <c r="AN45" s="27">
        <f t="shared" si="8"/>
        <v>180</v>
      </c>
      <c r="AO45" s="28">
        <f t="shared" si="28"/>
        <v>80.823194662480375</v>
      </c>
      <c r="AP45" s="28">
        <f t="shared" si="29"/>
        <v>100.20339716542249</v>
      </c>
      <c r="AQ45" s="28">
        <f t="shared" si="30"/>
        <v>101.73833329049613</v>
      </c>
      <c r="AR45" s="28">
        <f t="shared" si="31"/>
        <v>86.401347708894889</v>
      </c>
      <c r="AS45" s="28">
        <f t="shared" si="32"/>
        <v>110.11904761904761</v>
      </c>
      <c r="AT45" s="28">
        <f t="shared" si="9"/>
        <v>92.927478793611584</v>
      </c>
    </row>
    <row r="46" spans="1:251" s="32" customFormat="1" x14ac:dyDescent="0.2">
      <c r="A46" s="16">
        <v>51</v>
      </c>
      <c r="B46" s="11" t="s">
        <v>46</v>
      </c>
      <c r="C46" s="11" t="s">
        <v>173</v>
      </c>
      <c r="D46" s="11" t="s">
        <v>117</v>
      </c>
      <c r="E46" s="12" t="s">
        <v>118</v>
      </c>
      <c r="F46" s="11" t="s">
        <v>59</v>
      </c>
      <c r="G46" s="13">
        <v>42759</v>
      </c>
      <c r="H46" s="13"/>
      <c r="I46" s="13">
        <v>43041</v>
      </c>
      <c r="J46" s="14">
        <v>43152</v>
      </c>
      <c r="K46" s="15">
        <v>111</v>
      </c>
      <c r="L46" s="16">
        <f t="shared" si="0"/>
        <v>393</v>
      </c>
      <c r="M46" s="16">
        <v>424</v>
      </c>
      <c r="N46" s="16">
        <v>443</v>
      </c>
      <c r="O46" s="16">
        <v>450</v>
      </c>
      <c r="P46" s="17">
        <f t="shared" si="1"/>
        <v>446.5</v>
      </c>
      <c r="Q46" s="17"/>
      <c r="R46" s="17"/>
      <c r="S46" s="17"/>
      <c r="T46" s="17"/>
      <c r="U46" s="18">
        <v>778</v>
      </c>
      <c r="V46" s="17">
        <v>792</v>
      </c>
      <c r="W46" s="17">
        <v>782</v>
      </c>
      <c r="X46" s="17">
        <f t="shared" si="2"/>
        <v>787</v>
      </c>
      <c r="Y46" s="20">
        <f t="shared" si="3"/>
        <v>2.0025445292620865</v>
      </c>
      <c r="Z46" s="17">
        <f t="shared" si="4"/>
        <v>340.5</v>
      </c>
      <c r="AA46" s="20">
        <f t="shared" si="5"/>
        <v>3.0401785714285716</v>
      </c>
      <c r="AB46" s="21">
        <v>47</v>
      </c>
      <c r="AC46" s="22">
        <f t="shared" si="6"/>
        <v>3.644953430000001</v>
      </c>
      <c r="AD46" s="23">
        <v>9.7802799999999994</v>
      </c>
      <c r="AE46" s="24">
        <f t="shared" si="7"/>
        <v>1.2571053984575835</v>
      </c>
      <c r="AF46" s="23">
        <v>0.168628</v>
      </c>
      <c r="AG46" s="23">
        <v>4.0033000000000003</v>
      </c>
      <c r="AH46" s="23">
        <v>0.24779599999999999</v>
      </c>
      <c r="AI46" s="25">
        <v>31</v>
      </c>
      <c r="AJ46" s="26">
        <v>3</v>
      </c>
      <c r="AK46" s="26">
        <v>6</v>
      </c>
      <c r="AL46" s="27">
        <v>13.5</v>
      </c>
      <c r="AM46" s="27">
        <v>10.5</v>
      </c>
      <c r="AN46" s="27">
        <f t="shared" si="8"/>
        <v>141.75</v>
      </c>
      <c r="AO46" s="28">
        <f t="shared" si="28"/>
        <v>83.521389324960765</v>
      </c>
      <c r="AP46" s="28">
        <f t="shared" si="29"/>
        <v>107.44490585107552</v>
      </c>
      <c r="AQ46" s="28">
        <f t="shared" si="30"/>
        <v>67.425741725996176</v>
      </c>
      <c r="AR46" s="28">
        <f t="shared" si="31"/>
        <v>107.90566037735849</v>
      </c>
      <c r="AS46" s="28">
        <f t="shared" si="32"/>
        <v>92.261904761904759</v>
      </c>
      <c r="AT46" s="28">
        <f t="shared" si="9"/>
        <v>90.837868864564754</v>
      </c>
      <c r="AU46" s="11"/>
      <c r="AV46" s="11"/>
      <c r="AW46" s="11"/>
      <c r="AX46" s="34"/>
      <c r="AY46" s="16"/>
      <c r="AZ46" s="34"/>
      <c r="BA46" s="34"/>
      <c r="BB46" s="16"/>
      <c r="BC46" s="16"/>
      <c r="BD46" s="11"/>
      <c r="BE46" s="11"/>
      <c r="BF46" s="11"/>
      <c r="BG46" s="34"/>
      <c r="BH46" s="16"/>
      <c r="BI46" s="34"/>
      <c r="BJ46" s="34"/>
      <c r="BK46" s="11"/>
      <c r="BL46" s="11"/>
      <c r="BM46" s="11"/>
      <c r="BN46" s="11"/>
      <c r="BO46" s="34"/>
      <c r="BP46" s="11"/>
      <c r="BQ46" s="11"/>
      <c r="BR46" s="11"/>
      <c r="BS46" s="25"/>
      <c r="BT46" s="34"/>
      <c r="BU46" s="34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</row>
    <row r="47" spans="1:251" s="49" customFormat="1" ht="15.75" x14ac:dyDescent="0.25">
      <c r="A47" s="54"/>
      <c r="B47" s="35"/>
      <c r="C47" s="35"/>
      <c r="D47" s="35" t="s">
        <v>185</v>
      </c>
      <c r="E47" s="50"/>
      <c r="F47" s="35"/>
      <c r="G47" s="51"/>
      <c r="H47" s="51"/>
      <c r="I47" s="51"/>
      <c r="J47" s="52"/>
      <c r="K47" s="53"/>
      <c r="L47" s="54"/>
      <c r="M47" s="54"/>
      <c r="N47" s="54"/>
      <c r="O47" s="54"/>
      <c r="P47" s="59"/>
      <c r="Q47" s="59"/>
      <c r="R47" s="59"/>
      <c r="S47" s="59"/>
      <c r="T47" s="59"/>
      <c r="U47" s="67"/>
      <c r="V47" s="59"/>
      <c r="W47" s="59"/>
      <c r="X47" s="59"/>
      <c r="Y47" s="65">
        <f>AVERAGE(Y36:Y46)</f>
        <v>2.9663461458395015</v>
      </c>
      <c r="Z47" s="59"/>
      <c r="AA47" s="65">
        <f>AVERAGE(AA36:AA46)</f>
        <v>3.6436688311688301</v>
      </c>
      <c r="AB47" s="69"/>
      <c r="AC47" s="61"/>
      <c r="AD47" s="65">
        <f>AVERAGE(AD36:AD46)</f>
        <v>12.205007272727272</v>
      </c>
      <c r="AE47" s="65">
        <f>AVERAGE(AE36:AE46)</f>
        <v>1.1694136836862841</v>
      </c>
      <c r="AF47" s="66"/>
      <c r="AG47" s="65">
        <f>AVERAGE(AG36:AG46)</f>
        <v>3.7114045454545459</v>
      </c>
      <c r="AH47" s="66"/>
      <c r="AI47" s="65">
        <f>AVERAGE(AI36:AI46)</f>
        <v>33.636363636363633</v>
      </c>
      <c r="AJ47" s="70"/>
      <c r="AK47" s="70"/>
      <c r="AL47" s="71"/>
      <c r="AM47" s="71"/>
      <c r="AN47" s="71"/>
      <c r="AO47" s="65">
        <f t="shared" ref="AO47:AT47" si="33">AVERAGE(AO36:AO46)</f>
        <v>100.1007920650778</v>
      </c>
      <c r="AP47" s="65">
        <f t="shared" si="33"/>
        <v>99.949887494554204</v>
      </c>
      <c r="AQ47" s="65">
        <f t="shared" si="33"/>
        <v>99.876974607390594</v>
      </c>
      <c r="AR47" s="65">
        <f t="shared" si="33"/>
        <v>100.03785836804705</v>
      </c>
      <c r="AS47" s="65">
        <f t="shared" si="33"/>
        <v>100.10822510822508</v>
      </c>
      <c r="AT47" s="65">
        <f t="shared" si="33"/>
        <v>100.01400422434422</v>
      </c>
      <c r="AU47" s="35"/>
      <c r="AV47" s="35"/>
      <c r="AW47" s="35"/>
      <c r="AX47" s="56"/>
      <c r="AY47" s="54"/>
      <c r="AZ47" s="56"/>
      <c r="BA47" s="56"/>
      <c r="BB47" s="54"/>
      <c r="BC47" s="54"/>
      <c r="BD47" s="35"/>
      <c r="BE47" s="35"/>
      <c r="BF47" s="35"/>
      <c r="BG47" s="56"/>
      <c r="BH47" s="54"/>
      <c r="BI47" s="56"/>
      <c r="BJ47" s="56"/>
      <c r="BK47" s="35"/>
      <c r="BL47" s="35"/>
      <c r="BM47" s="35"/>
      <c r="BN47" s="35"/>
      <c r="BO47" s="56"/>
      <c r="BP47" s="35"/>
      <c r="BQ47" s="35"/>
      <c r="BR47" s="35"/>
      <c r="BS47" s="55"/>
      <c r="BT47" s="56"/>
      <c r="BU47" s="56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</row>
    <row r="48" spans="1:251" s="32" customFormat="1" x14ac:dyDescent="0.2">
      <c r="A48" s="16"/>
      <c r="B48" s="11"/>
      <c r="C48" s="11"/>
      <c r="D48" s="11"/>
      <c r="E48" s="12"/>
      <c r="F48" s="11"/>
      <c r="G48" s="13"/>
      <c r="H48" s="13"/>
      <c r="I48" s="13"/>
      <c r="J48" s="14"/>
      <c r="K48" s="15"/>
      <c r="L48" s="16"/>
      <c r="M48" s="16"/>
      <c r="N48" s="16"/>
      <c r="O48" s="16"/>
      <c r="P48" s="17"/>
      <c r="Q48" s="17"/>
      <c r="R48" s="17"/>
      <c r="S48" s="17"/>
      <c r="T48" s="17"/>
      <c r="U48" s="18"/>
      <c r="V48" s="17"/>
      <c r="W48" s="17"/>
      <c r="X48" s="17"/>
      <c r="Y48" s="20"/>
      <c r="Z48" s="17"/>
      <c r="AA48" s="20"/>
      <c r="AB48" s="21"/>
      <c r="AC48" s="22"/>
      <c r="AD48" s="23"/>
      <c r="AE48" s="24"/>
      <c r="AF48" s="23"/>
      <c r="AG48" s="23"/>
      <c r="AH48" s="23"/>
      <c r="AI48" s="25"/>
      <c r="AJ48" s="26"/>
      <c r="AK48" s="26"/>
      <c r="AL48" s="27"/>
      <c r="AM48" s="27"/>
      <c r="AN48" s="27"/>
      <c r="AO48" s="28"/>
      <c r="AP48" s="28"/>
      <c r="AQ48" s="28"/>
      <c r="AR48" s="28"/>
      <c r="AS48" s="28"/>
      <c r="AT48" s="28"/>
      <c r="AU48" s="11"/>
      <c r="AV48" s="11"/>
      <c r="AW48" s="11"/>
      <c r="AX48" s="34"/>
      <c r="AY48" s="16"/>
      <c r="AZ48" s="34"/>
      <c r="BA48" s="34"/>
      <c r="BB48" s="16"/>
      <c r="BC48" s="16"/>
      <c r="BD48" s="11"/>
      <c r="BE48" s="11"/>
      <c r="BF48" s="11"/>
      <c r="BG48" s="34"/>
      <c r="BH48" s="16"/>
      <c r="BI48" s="34"/>
      <c r="BJ48" s="34"/>
      <c r="BK48" s="11"/>
      <c r="BL48" s="11"/>
      <c r="BM48" s="11"/>
      <c r="BN48" s="11"/>
      <c r="BO48" s="34"/>
      <c r="BP48" s="11"/>
      <c r="BQ48" s="11"/>
      <c r="BR48" s="11"/>
      <c r="BS48" s="25"/>
      <c r="BT48" s="34"/>
      <c r="BU48" s="34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</row>
    <row r="49" spans="1:251" ht="15.75" x14ac:dyDescent="0.25">
      <c r="A49" s="11">
        <v>87</v>
      </c>
      <c r="B49" s="11" t="s">
        <v>46</v>
      </c>
      <c r="C49" s="11" t="s">
        <v>173</v>
      </c>
      <c r="D49" s="11" t="s">
        <v>155</v>
      </c>
      <c r="E49" s="12" t="s">
        <v>159</v>
      </c>
      <c r="F49" s="11" t="s">
        <v>154</v>
      </c>
      <c r="G49" s="13">
        <v>42817</v>
      </c>
      <c r="I49" s="13">
        <v>43041</v>
      </c>
      <c r="J49" s="14">
        <v>43152</v>
      </c>
      <c r="K49" s="15">
        <v>120</v>
      </c>
      <c r="L49" s="16">
        <f>J49-G49</f>
        <v>335</v>
      </c>
      <c r="M49" s="16">
        <v>726</v>
      </c>
      <c r="N49" s="16">
        <v>722</v>
      </c>
      <c r="O49" s="16">
        <v>730</v>
      </c>
      <c r="P49" s="17">
        <f>AVERAGE(N49:O49)</f>
        <v>726</v>
      </c>
      <c r="U49" s="18">
        <v>1285</v>
      </c>
      <c r="V49" s="17">
        <v>1300</v>
      </c>
      <c r="W49" s="19">
        <v>1330</v>
      </c>
      <c r="X49" s="17">
        <f>(V49+W49)/2</f>
        <v>1315</v>
      </c>
      <c r="Y49" s="20">
        <f>(X49/L49)</f>
        <v>3.9253731343283582</v>
      </c>
      <c r="Z49" s="17">
        <f>(X49-P49)</f>
        <v>589</v>
      </c>
      <c r="AA49" s="20">
        <f>(Z49/112)</f>
        <v>5.2589285714285712</v>
      </c>
      <c r="AB49" s="21">
        <v>51</v>
      </c>
      <c r="AC49" s="22">
        <f>-11.548+0.4878*(AB49)-0.0289*(L49)+0.00001947*(L49*L49)+0.0000334*(AB49*L49)</f>
        <v>6.4039597500000003</v>
      </c>
      <c r="AD49" s="23">
        <v>13.3795</v>
      </c>
      <c r="AE49" s="24">
        <f>AD49/U49*100</f>
        <v>1.041206225680934</v>
      </c>
      <c r="AF49" s="23">
        <v>0.19364899999999999</v>
      </c>
      <c r="AG49" s="23">
        <v>4.4188000000000001</v>
      </c>
      <c r="AH49" s="23">
        <v>0.18284400000000001</v>
      </c>
      <c r="AI49" s="25">
        <v>38</v>
      </c>
      <c r="AJ49" s="26">
        <v>1</v>
      </c>
      <c r="AK49" s="26">
        <v>6</v>
      </c>
      <c r="AL49" s="27">
        <v>16</v>
      </c>
      <c r="AM49" s="27">
        <v>12</v>
      </c>
      <c r="AN49" s="27">
        <f>(AL49*AM49)</f>
        <v>192</v>
      </c>
      <c r="AO49" s="28">
        <f>(AA49/3.49)*100</f>
        <v>150.68563241915675</v>
      </c>
      <c r="AP49" s="28">
        <f>(AE49/1.14)*100</f>
        <v>91.33387944569597</v>
      </c>
      <c r="AQ49" s="28">
        <f>(Y49/2.91)*100</f>
        <v>134.89254757142123</v>
      </c>
      <c r="AR49" s="28">
        <f>(AG49/3.63)*100</f>
        <v>121.73002754820936</v>
      </c>
      <c r="AS49" s="28">
        <f>(AI49/34.1)*100</f>
        <v>111.43695014662755</v>
      </c>
      <c r="AT49" s="28">
        <f>(AO49*0.3)+(AP49*0.2)+(AQ49*0.2)+(AR49*0.2)+(AS49*0.1)</f>
        <v>125.9406756534751</v>
      </c>
      <c r="AU49" s="35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</row>
    <row r="50" spans="1:251" x14ac:dyDescent="0.2">
      <c r="A50" s="16">
        <v>45</v>
      </c>
      <c r="B50" s="11" t="s">
        <v>46</v>
      </c>
      <c r="C50" s="11" t="s">
        <v>173</v>
      </c>
      <c r="D50" s="11" t="s">
        <v>65</v>
      </c>
      <c r="E50" s="33" t="s">
        <v>109</v>
      </c>
      <c r="F50" s="11" t="s">
        <v>108</v>
      </c>
      <c r="G50" s="13">
        <v>42773</v>
      </c>
      <c r="I50" s="13">
        <v>43041</v>
      </c>
      <c r="J50" s="14">
        <v>43152</v>
      </c>
      <c r="K50" s="15">
        <v>108</v>
      </c>
      <c r="L50" s="16">
        <f>J50-G50</f>
        <v>379</v>
      </c>
      <c r="M50" s="16">
        <v>520</v>
      </c>
      <c r="N50" s="16">
        <v>586</v>
      </c>
      <c r="O50" s="16">
        <v>594</v>
      </c>
      <c r="P50" s="17">
        <f>AVERAGE(N50:O50)</f>
        <v>590</v>
      </c>
      <c r="U50" s="18">
        <v>994</v>
      </c>
      <c r="V50" s="17">
        <v>1005</v>
      </c>
      <c r="W50" s="17">
        <v>1005</v>
      </c>
      <c r="X50" s="17">
        <f>(V50+W50)/2</f>
        <v>1005</v>
      </c>
      <c r="Y50" s="20">
        <f>(X50/L50)</f>
        <v>2.6517150395778364</v>
      </c>
      <c r="Z50" s="17">
        <f>(X50-P50)</f>
        <v>415</v>
      </c>
      <c r="AA50" s="20">
        <f>(Z50/112)</f>
        <v>3.7053571428571428</v>
      </c>
      <c r="AB50" s="21">
        <v>48</v>
      </c>
      <c r="AC50" s="22">
        <f>-11.548+0.4878*(AB50)-0.0289*(L50)+0.00001947*(L50*L50)+0.0000334*(AB50*L50)</f>
        <v>4.3176030700000014</v>
      </c>
      <c r="AD50" s="23">
        <v>11.549200000000001</v>
      </c>
      <c r="AE50" s="24">
        <f>AD50/U50*100</f>
        <v>1.1618913480885311</v>
      </c>
      <c r="AF50" s="23">
        <v>0.225634</v>
      </c>
      <c r="AG50" s="23">
        <v>4.7394499999999997</v>
      </c>
      <c r="AH50" s="23">
        <v>0.28683500000000001</v>
      </c>
      <c r="AI50" s="25">
        <v>33.5</v>
      </c>
      <c r="AJ50" s="26">
        <v>1</v>
      </c>
      <c r="AK50" s="26">
        <v>6</v>
      </c>
      <c r="AL50" s="27">
        <v>13.5</v>
      </c>
      <c r="AM50" s="27">
        <v>10.5</v>
      </c>
      <c r="AN50" s="27">
        <f>(AL50*AM50)</f>
        <v>141.75</v>
      </c>
      <c r="AO50" s="28">
        <f>(AA50/3.49)*100</f>
        <v>106.17069177241096</v>
      </c>
      <c r="AP50" s="28">
        <f>(AE50/1.14)*100</f>
        <v>101.92029369197641</v>
      </c>
      <c r="AQ50" s="28">
        <f>(Y50/2.91)*100</f>
        <v>91.124228164186817</v>
      </c>
      <c r="AR50" s="28">
        <f>(AG50/3.63)*100</f>
        <v>130.56336088154271</v>
      </c>
      <c r="AS50" s="28">
        <f>(AI50/34.1)*100</f>
        <v>98.240469208211138</v>
      </c>
      <c r="AT50" s="28">
        <f>(AO50*0.3)+(AP50*0.2)+(AQ50*0.2)+(AR50*0.2)+(AS50*0.1)</f>
        <v>106.39683100008558</v>
      </c>
    </row>
    <row r="51" spans="1:251" x14ac:dyDescent="0.2">
      <c r="A51" s="11">
        <v>85</v>
      </c>
      <c r="B51" s="11" t="s">
        <v>46</v>
      </c>
      <c r="C51" s="11" t="s">
        <v>173</v>
      </c>
      <c r="D51" s="11" t="s">
        <v>155</v>
      </c>
      <c r="E51" s="12" t="s">
        <v>157</v>
      </c>
      <c r="F51" s="11" t="s">
        <v>175</v>
      </c>
      <c r="G51" s="13">
        <v>42752</v>
      </c>
      <c r="I51" s="13">
        <v>43041</v>
      </c>
      <c r="J51" s="14">
        <v>43152</v>
      </c>
      <c r="K51" s="15">
        <v>120</v>
      </c>
      <c r="L51" s="16">
        <f>J51-G51</f>
        <v>400</v>
      </c>
      <c r="M51" s="16">
        <v>842</v>
      </c>
      <c r="N51" s="16">
        <v>858</v>
      </c>
      <c r="O51" s="16">
        <v>826</v>
      </c>
      <c r="P51" s="17">
        <f>AVERAGE(N51:O51)</f>
        <v>842</v>
      </c>
      <c r="U51" s="18">
        <v>1195</v>
      </c>
      <c r="V51" s="17">
        <v>1195</v>
      </c>
      <c r="W51" s="19">
        <v>1170</v>
      </c>
      <c r="X51" s="17">
        <f>(V51+W51)/2</f>
        <v>1182.5</v>
      </c>
      <c r="Y51" s="20">
        <f>(X51/L51)</f>
        <v>2.9562499999999998</v>
      </c>
      <c r="Z51" s="17">
        <f>(X51-P51)</f>
        <v>340.5</v>
      </c>
      <c r="AA51" s="20">
        <f>(Z51/112)</f>
        <v>3.0401785714285716</v>
      </c>
      <c r="AB51" s="21">
        <v>52</v>
      </c>
      <c r="AC51" s="22">
        <f>-11.548+0.4878*(AB51)-0.0289*(L51)+0.00001947*(L51*L51)+0.0000334*(AB51*L51)</f>
        <v>6.0675200000000018</v>
      </c>
      <c r="AD51" s="23">
        <v>13.310700000000001</v>
      </c>
      <c r="AE51" s="24">
        <f>AD51/U51*100</f>
        <v>1.1138661087866109</v>
      </c>
      <c r="AF51" s="23">
        <v>0.22533800000000001</v>
      </c>
      <c r="AG51" s="23">
        <v>3.4518800000000001</v>
      </c>
      <c r="AH51" s="23">
        <v>0.33697700000000003</v>
      </c>
      <c r="AI51" s="25">
        <v>40</v>
      </c>
      <c r="AJ51" s="26">
        <v>3</v>
      </c>
      <c r="AK51" s="26">
        <v>6</v>
      </c>
      <c r="AL51" s="27">
        <v>15</v>
      </c>
      <c r="AM51" s="27">
        <v>12</v>
      </c>
      <c r="AN51" s="27">
        <f>(AL51*AM51)</f>
        <v>180</v>
      </c>
      <c r="AO51" s="28">
        <f>(AA51/3.49)*100</f>
        <v>87.111133851821535</v>
      </c>
      <c r="AP51" s="28">
        <f>(AE51/1.14)*100</f>
        <v>97.707553402334284</v>
      </c>
      <c r="AQ51" s="28">
        <f>(Y51/2.91)*100</f>
        <v>101.58934707903779</v>
      </c>
      <c r="AR51" s="28">
        <f>(AG51/3.63)*100</f>
        <v>95.093112947658412</v>
      </c>
      <c r="AS51" s="28">
        <f>(AI51/34.1)*100</f>
        <v>117.30205278592373</v>
      </c>
      <c r="AT51" s="28">
        <f>(AO51*0.3)+(AP51*0.2)+(AQ51*0.2)+(AR51*0.2)+(AS51*0.1)</f>
        <v>96.741548119944952</v>
      </c>
      <c r="AV51" s="30"/>
      <c r="AW51" s="30"/>
      <c r="AX51" s="30"/>
      <c r="AY51" s="29"/>
      <c r="AZ51" s="30"/>
      <c r="BA51" s="30"/>
      <c r="BB51" s="29"/>
      <c r="BC51" s="30"/>
      <c r="BD51" s="30"/>
      <c r="BE51" s="30"/>
      <c r="BF51" s="30"/>
      <c r="BG51" s="30"/>
      <c r="BH51" s="29"/>
      <c r="BI51" s="30"/>
      <c r="BJ51" s="30"/>
      <c r="BK51" s="30"/>
      <c r="BL51" s="29"/>
      <c r="BM51" s="30"/>
      <c r="BN51" s="29"/>
      <c r="BO51" s="30"/>
      <c r="BP51" s="30"/>
      <c r="BQ51" s="30"/>
      <c r="BR51" s="30"/>
      <c r="BS51" s="31"/>
      <c r="BT51" s="30"/>
      <c r="BU51" s="30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  <c r="IP51" s="32"/>
      <c r="IQ51" s="32"/>
    </row>
    <row r="52" spans="1:251" ht="15.75" x14ac:dyDescent="0.25">
      <c r="A52" s="11">
        <v>22</v>
      </c>
      <c r="B52" s="11" t="s">
        <v>46</v>
      </c>
      <c r="C52" s="11" t="s">
        <v>173</v>
      </c>
      <c r="D52" s="32" t="s">
        <v>84</v>
      </c>
      <c r="E52" s="33" t="s">
        <v>168</v>
      </c>
      <c r="F52" s="11" t="s">
        <v>85</v>
      </c>
      <c r="G52" s="13">
        <v>42750</v>
      </c>
      <c r="I52" s="13">
        <v>43041</v>
      </c>
      <c r="J52" s="14">
        <v>43152</v>
      </c>
      <c r="K52" s="15">
        <v>103</v>
      </c>
      <c r="L52" s="16">
        <f>J52-G52</f>
        <v>402</v>
      </c>
      <c r="M52" s="16">
        <v>512</v>
      </c>
      <c r="N52" s="16">
        <v>564</v>
      </c>
      <c r="O52" s="16">
        <v>544</v>
      </c>
      <c r="P52" s="17">
        <f>AVERAGE(N52:O52)</f>
        <v>554</v>
      </c>
      <c r="U52" s="18">
        <v>882</v>
      </c>
      <c r="V52" s="17">
        <v>896</v>
      </c>
      <c r="W52" s="17">
        <v>902</v>
      </c>
      <c r="X52" s="17">
        <f>(V52+W52)/2</f>
        <v>899</v>
      </c>
      <c r="Y52" s="20">
        <f>(X52/L52)</f>
        <v>2.2363184079601992</v>
      </c>
      <c r="Z52" s="17">
        <f>(X52-P52)</f>
        <v>345</v>
      </c>
      <c r="AA52" s="20">
        <f>(Z52/112)</f>
        <v>3.0803571428571428</v>
      </c>
      <c r="AB52" s="21">
        <v>49</v>
      </c>
      <c r="AC52" s="22">
        <f>-11.548+0.4878*(AB52)-0.0289*(L52)+0.00001947*(L52*L52)+0.0000334*(AB52*L52)</f>
        <v>4.5407430800000022</v>
      </c>
      <c r="AD52" s="23">
        <v>10.0564</v>
      </c>
      <c r="AE52" s="24">
        <f>AD52/U52*100</f>
        <v>1.1401814058956916</v>
      </c>
      <c r="AF52" s="23">
        <v>0.18090800000000001</v>
      </c>
      <c r="AG52" s="23">
        <v>3.8073100000000002</v>
      </c>
      <c r="AH52" s="23">
        <v>0.23458799999999999</v>
      </c>
      <c r="AI52" s="25">
        <v>36.5</v>
      </c>
      <c r="AJ52" s="26">
        <v>1</v>
      </c>
      <c r="AK52" s="26">
        <v>6</v>
      </c>
      <c r="AL52" s="27">
        <v>14</v>
      </c>
      <c r="AM52" s="27">
        <v>10.5</v>
      </c>
      <c r="AN52" s="27">
        <f>(AL52*AM52)</f>
        <v>147</v>
      </c>
      <c r="AO52" s="28">
        <f t="shared" ref="AO52" si="34">(AA52/3.49)*100</f>
        <v>88.262382316823576</v>
      </c>
      <c r="AP52" s="28">
        <f>(AE52/1.14)*100</f>
        <v>100.0159127978677</v>
      </c>
      <c r="AQ52" s="28">
        <f>(Y52/2.91)*100</f>
        <v>76.849429826810962</v>
      </c>
      <c r="AR52" s="28">
        <f t="shared" ref="AR52" si="35">(AG52/3.63)*100</f>
        <v>104.88457300275482</v>
      </c>
      <c r="AS52" s="28">
        <f t="shared" ref="AS52" si="36">(AI52/34.1)*100</f>
        <v>107.03812316715542</v>
      </c>
      <c r="AT52" s="28">
        <f>(AO52*0.3)+(AP52*0.2)+(AQ52*0.2)+(AR52*0.2)+(AS52*0.1)</f>
        <v>93.532510137249318</v>
      </c>
      <c r="AU52" s="35"/>
      <c r="AV52" s="30"/>
      <c r="AW52" s="30"/>
      <c r="AX52" s="30"/>
      <c r="AY52" s="29"/>
      <c r="AZ52" s="30"/>
      <c r="BA52" s="30"/>
      <c r="BC52" s="30"/>
      <c r="BD52" s="30"/>
      <c r="BE52" s="30"/>
      <c r="BF52" s="30"/>
      <c r="BG52" s="30"/>
      <c r="BH52" s="29"/>
      <c r="BI52" s="30"/>
      <c r="BJ52" s="30"/>
      <c r="BK52" s="30"/>
      <c r="BL52" s="29"/>
      <c r="BM52" s="30"/>
      <c r="BN52" s="29"/>
      <c r="BO52" s="30"/>
      <c r="BP52" s="30"/>
      <c r="BQ52" s="30"/>
      <c r="BR52" s="30"/>
      <c r="BS52" s="31"/>
      <c r="BT52" s="30"/>
      <c r="BU52" s="30"/>
    </row>
    <row r="53" spans="1:251" s="35" customFormat="1" ht="15.75" x14ac:dyDescent="0.25">
      <c r="E53" s="50"/>
      <c r="G53" s="51"/>
      <c r="H53" s="51"/>
      <c r="I53" s="51"/>
      <c r="J53" s="52"/>
      <c r="K53" s="53"/>
      <c r="L53" s="54"/>
      <c r="M53" s="54"/>
      <c r="N53" s="54"/>
      <c r="O53" s="54"/>
      <c r="P53" s="59"/>
      <c r="Q53" s="59"/>
      <c r="R53" s="59"/>
      <c r="S53" s="59"/>
      <c r="T53" s="59"/>
      <c r="U53" s="67"/>
      <c r="V53" s="59"/>
      <c r="W53" s="68"/>
      <c r="X53" s="59"/>
      <c r="Y53" s="65"/>
      <c r="Z53" s="59"/>
      <c r="AA53" s="65"/>
      <c r="AB53" s="69"/>
      <c r="AC53" s="61"/>
      <c r="AD53" s="66"/>
      <c r="AE53" s="42"/>
      <c r="AF53" s="66"/>
      <c r="AG53" s="66"/>
      <c r="AH53" s="66"/>
      <c r="AI53" s="55"/>
      <c r="AJ53" s="70"/>
      <c r="AK53" s="70"/>
      <c r="AL53" s="71"/>
      <c r="AM53" s="71"/>
      <c r="AN53" s="71"/>
      <c r="AO53" s="40">
        <f>AVERAGE(AO49:AO52)</f>
        <v>108.0574600900532</v>
      </c>
      <c r="AP53" s="40">
        <f t="shared" ref="AP53:AT53" si="37">AVERAGE(AP49:AP52)</f>
        <v>97.744409834468598</v>
      </c>
      <c r="AQ53" s="40">
        <f t="shared" si="37"/>
        <v>101.11388816036421</v>
      </c>
      <c r="AR53" s="40">
        <f t="shared" si="37"/>
        <v>113.06776859504131</v>
      </c>
      <c r="AS53" s="40">
        <f t="shared" si="37"/>
        <v>108.50439882697947</v>
      </c>
      <c r="AT53" s="40">
        <f t="shared" si="37"/>
        <v>105.65289122768874</v>
      </c>
      <c r="AX53" s="56"/>
      <c r="AY53" s="54"/>
      <c r="AZ53" s="56"/>
      <c r="BA53" s="56"/>
      <c r="BB53" s="54"/>
      <c r="BC53" s="54"/>
      <c r="BG53" s="56"/>
      <c r="BH53" s="54"/>
      <c r="BI53" s="56"/>
      <c r="BJ53" s="56"/>
      <c r="BO53" s="56"/>
      <c r="BS53" s="55"/>
      <c r="BT53" s="56"/>
      <c r="BU53" s="56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/>
      <c r="GB53" s="49"/>
      <c r="GC53" s="49"/>
      <c r="GD53" s="49"/>
      <c r="GE53" s="49"/>
      <c r="GF53" s="49"/>
      <c r="GG53" s="49"/>
      <c r="GH53" s="49"/>
      <c r="GI53" s="49"/>
      <c r="GJ53" s="49"/>
      <c r="GK53" s="49"/>
      <c r="GL53" s="49"/>
      <c r="GM53" s="49"/>
      <c r="GN53" s="49"/>
      <c r="GO53" s="49"/>
      <c r="GP53" s="49"/>
      <c r="GQ53" s="49"/>
      <c r="GR53" s="49"/>
      <c r="GS53" s="49"/>
      <c r="GT53" s="49"/>
      <c r="GU53" s="49"/>
      <c r="GV53" s="49"/>
      <c r="GW53" s="49"/>
      <c r="GX53" s="49"/>
      <c r="GY53" s="49"/>
      <c r="GZ53" s="49"/>
      <c r="HA53" s="49"/>
      <c r="HB53" s="49"/>
      <c r="HC53" s="49"/>
      <c r="HD53" s="49"/>
      <c r="HE53" s="49"/>
      <c r="HF53" s="49"/>
      <c r="HG53" s="49"/>
      <c r="HH53" s="49"/>
      <c r="HI53" s="49"/>
      <c r="HJ53" s="49"/>
      <c r="HK53" s="49"/>
      <c r="HL53" s="49"/>
      <c r="HM53" s="49"/>
      <c r="HN53" s="49"/>
      <c r="HO53" s="49"/>
      <c r="HP53" s="49"/>
      <c r="HQ53" s="49"/>
      <c r="HR53" s="49"/>
      <c r="HS53" s="49"/>
      <c r="HT53" s="49"/>
      <c r="HU53" s="49"/>
      <c r="HV53" s="49"/>
      <c r="HW53" s="49"/>
      <c r="HX53" s="49"/>
      <c r="HY53" s="49"/>
      <c r="HZ53" s="49"/>
      <c r="IA53" s="49"/>
      <c r="IB53" s="49"/>
      <c r="IC53" s="49"/>
      <c r="ID53" s="49"/>
      <c r="IE53" s="49"/>
      <c r="IF53" s="49"/>
      <c r="IG53" s="49"/>
      <c r="IH53" s="49"/>
      <c r="II53" s="49"/>
      <c r="IJ53" s="49"/>
      <c r="IK53" s="49"/>
      <c r="IL53" s="49"/>
      <c r="IM53" s="49"/>
      <c r="IN53" s="49"/>
      <c r="IO53" s="49"/>
      <c r="IP53" s="49"/>
      <c r="IQ53" s="49"/>
    </row>
    <row r="54" spans="1:251" s="41" customFormat="1" ht="15.75" x14ac:dyDescent="0.25">
      <c r="A54" s="38"/>
      <c r="B54" s="38"/>
      <c r="C54" s="38"/>
      <c r="E54" s="39"/>
      <c r="F54" s="38"/>
      <c r="G54" s="40"/>
      <c r="H54" s="40"/>
      <c r="I54" s="40"/>
      <c r="K54" s="42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</row>
    <row r="55" spans="1:251" s="41" customFormat="1" ht="15.75" x14ac:dyDescent="0.25">
      <c r="A55" s="38"/>
      <c r="B55" s="38"/>
      <c r="C55" s="38"/>
      <c r="D55" s="38" t="s">
        <v>181</v>
      </c>
      <c r="E55" s="39"/>
      <c r="F55" s="38"/>
      <c r="G55" s="40"/>
      <c r="H55" s="40"/>
      <c r="I55" s="40"/>
      <c r="K55" s="42"/>
      <c r="L55" s="38"/>
      <c r="M55" s="38">
        <v>618.34</v>
      </c>
      <c r="N55" s="38">
        <v>653.62</v>
      </c>
      <c r="O55" s="38">
        <v>658.31</v>
      </c>
      <c r="P55" s="65">
        <v>655.96</v>
      </c>
      <c r="Q55" s="65"/>
      <c r="R55" s="65"/>
      <c r="S55" s="65"/>
      <c r="T55" s="65"/>
      <c r="U55" s="66">
        <v>1035.5899999999999</v>
      </c>
      <c r="V55" s="65">
        <v>1045.46</v>
      </c>
      <c r="W55" s="65">
        <v>1048.21</v>
      </c>
      <c r="X55" s="65">
        <v>1046.83</v>
      </c>
      <c r="Y55" s="65">
        <v>2.91</v>
      </c>
      <c r="Z55" s="65">
        <v>390.87</v>
      </c>
      <c r="AA55" s="65">
        <v>3.49</v>
      </c>
      <c r="AB55" s="65">
        <v>51.15</v>
      </c>
      <c r="AC55" s="42">
        <v>6.16</v>
      </c>
      <c r="AD55" s="66">
        <v>11.73</v>
      </c>
      <c r="AE55" s="42">
        <v>1.1399999999999999</v>
      </c>
      <c r="AF55" s="66">
        <v>0.22</v>
      </c>
      <c r="AG55" s="66">
        <v>3.63</v>
      </c>
      <c r="AH55" s="66">
        <v>0.31</v>
      </c>
      <c r="AI55" s="38">
        <v>34.1</v>
      </c>
      <c r="AJ55" s="40">
        <v>2.82</v>
      </c>
      <c r="AK55" s="40">
        <v>6.31</v>
      </c>
      <c r="AL55" s="40">
        <v>14.86</v>
      </c>
      <c r="AM55" s="40">
        <v>11.24</v>
      </c>
      <c r="AN55" s="40">
        <v>167.9</v>
      </c>
      <c r="AO55" s="40"/>
      <c r="AP55" s="40"/>
      <c r="AQ55" s="40"/>
      <c r="AR55" s="40"/>
      <c r="AS55" s="40"/>
      <c r="AT55" s="40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</row>
    <row r="56" spans="1:251" s="32" customFormat="1" x14ac:dyDescent="0.2">
      <c r="A56" s="16"/>
      <c r="B56" s="11"/>
      <c r="C56" s="11"/>
      <c r="D56" s="11"/>
      <c r="E56" s="12"/>
      <c r="F56" s="11"/>
      <c r="G56" s="13"/>
      <c r="H56" s="13"/>
      <c r="I56" s="13"/>
      <c r="J56" s="14"/>
      <c r="K56" s="15"/>
      <c r="L56" s="16"/>
      <c r="M56" s="16"/>
      <c r="N56" s="16"/>
      <c r="O56" s="16"/>
      <c r="P56" s="17"/>
      <c r="Q56" s="17"/>
      <c r="R56" s="17"/>
      <c r="S56" s="17"/>
      <c r="T56" s="17"/>
      <c r="U56" s="18"/>
      <c r="V56" s="17"/>
      <c r="W56" s="17"/>
      <c r="X56" s="17"/>
      <c r="Y56" s="20"/>
      <c r="Z56" s="17"/>
      <c r="AA56" s="20"/>
      <c r="AB56" s="21"/>
      <c r="AC56" s="22"/>
      <c r="AD56" s="23"/>
      <c r="AE56" s="24"/>
      <c r="AF56" s="23"/>
      <c r="AG56" s="23"/>
      <c r="AH56" s="23"/>
      <c r="AI56" s="25"/>
      <c r="AJ56" s="26"/>
      <c r="AK56" s="26"/>
      <c r="AL56" s="27"/>
      <c r="AM56" s="27"/>
      <c r="AN56" s="27"/>
      <c r="AO56" s="28"/>
      <c r="AP56" s="28"/>
      <c r="AQ56" s="28"/>
      <c r="AR56" s="28"/>
      <c r="AS56" s="28"/>
      <c r="AT56" s="28"/>
      <c r="AU56" s="11"/>
      <c r="AV56" s="11"/>
      <c r="AW56" s="11"/>
      <c r="AX56" s="34"/>
      <c r="AY56" s="16"/>
      <c r="AZ56" s="34"/>
      <c r="BA56" s="34"/>
      <c r="BB56" s="16"/>
      <c r="BC56" s="16"/>
      <c r="BD56" s="11"/>
      <c r="BE56" s="11"/>
      <c r="BF56" s="11"/>
      <c r="BG56" s="34"/>
      <c r="BH56" s="16"/>
      <c r="BI56" s="34"/>
      <c r="BJ56" s="34"/>
      <c r="BK56" s="11"/>
      <c r="BL56" s="11"/>
      <c r="BM56" s="11"/>
      <c r="BN56" s="11"/>
      <c r="BO56" s="34"/>
      <c r="BP56" s="11"/>
      <c r="BQ56" s="11"/>
      <c r="BR56" s="11"/>
      <c r="BS56" s="25"/>
      <c r="BT56" s="34"/>
      <c r="BU56" s="34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</row>
    <row r="57" spans="1:251" s="32" customFormat="1" x14ac:dyDescent="0.2">
      <c r="A57" s="11">
        <v>91</v>
      </c>
      <c r="B57" s="43" t="s">
        <v>53</v>
      </c>
      <c r="C57" s="11" t="s">
        <v>172</v>
      </c>
      <c r="D57" s="11" t="s">
        <v>164</v>
      </c>
      <c r="E57" s="12" t="s">
        <v>165</v>
      </c>
      <c r="F57" s="11" t="s">
        <v>50</v>
      </c>
      <c r="G57" s="13">
        <v>42506</v>
      </c>
      <c r="H57" s="13"/>
      <c r="I57" s="13">
        <v>43041</v>
      </c>
      <c r="J57" s="14">
        <v>43152</v>
      </c>
      <c r="K57" s="15">
        <v>121</v>
      </c>
      <c r="L57" s="16">
        <f t="shared" si="0"/>
        <v>646</v>
      </c>
      <c r="M57" s="16">
        <v>778</v>
      </c>
      <c r="N57" s="16">
        <v>824</v>
      </c>
      <c r="O57" s="16">
        <v>890</v>
      </c>
      <c r="P57" s="17">
        <f t="shared" si="1"/>
        <v>857</v>
      </c>
      <c r="Q57" s="17"/>
      <c r="R57" s="17"/>
      <c r="S57" s="17"/>
      <c r="T57" s="17"/>
      <c r="U57" s="18">
        <v>1225</v>
      </c>
      <c r="V57" s="17">
        <v>1250</v>
      </c>
      <c r="W57" s="19">
        <v>1230</v>
      </c>
      <c r="X57" s="17">
        <f t="shared" si="2"/>
        <v>1240</v>
      </c>
      <c r="Y57" s="20">
        <f t="shared" si="3"/>
        <v>1.9195046439628483</v>
      </c>
      <c r="Z57" s="17">
        <f t="shared" si="4"/>
        <v>383</v>
      </c>
      <c r="AA57" s="20">
        <f t="shared" si="5"/>
        <v>3.4196428571428572</v>
      </c>
      <c r="AB57" s="21">
        <v>53</v>
      </c>
      <c r="AC57" s="22">
        <f t="shared" si="6"/>
        <v>4.9046917200000015</v>
      </c>
      <c r="AD57" s="23">
        <v>13.3474</v>
      </c>
      <c r="AE57" s="24">
        <f t="shared" si="7"/>
        <v>1.0895836734693878</v>
      </c>
      <c r="AF57" s="23">
        <v>0.248228</v>
      </c>
      <c r="AG57" s="23">
        <v>3.1524700000000001</v>
      </c>
      <c r="AH57" s="23">
        <v>0.37437799999999999</v>
      </c>
      <c r="AI57" s="25">
        <v>41</v>
      </c>
      <c r="AJ57" s="26">
        <v>3</v>
      </c>
      <c r="AK57" s="26">
        <v>7</v>
      </c>
      <c r="AL57" s="27">
        <v>16</v>
      </c>
      <c r="AM57" s="27">
        <v>12</v>
      </c>
      <c r="AN57" s="27">
        <f t="shared" si="8"/>
        <v>192</v>
      </c>
      <c r="AO57" s="28">
        <f t="shared" ref="AO57" si="38">(AA57/3.95)*100</f>
        <v>86.573236889692581</v>
      </c>
      <c r="AP57" s="28">
        <f t="shared" ref="AP57:AP61" si="39">(AE57/1.08)*100</f>
        <v>100.88737717309147</v>
      </c>
      <c r="AQ57" s="28">
        <f t="shared" ref="AQ57" si="40">(Y57/2.34)*100</f>
        <v>82.030112989865316</v>
      </c>
      <c r="AR57" s="28">
        <f t="shared" ref="AR57" si="41">(AG57/3.72)*100</f>
        <v>84.743817204301081</v>
      </c>
      <c r="AS57" s="28">
        <f t="shared" ref="AS57:AS66" si="42">(AI57/41.4)*100</f>
        <v>99.033816425120776</v>
      </c>
      <c r="AT57" s="28">
        <f t="shared" si="9"/>
        <v>89.407614182871427</v>
      </c>
      <c r="AU57" s="11"/>
      <c r="AV57" s="30"/>
      <c r="AW57" s="30"/>
      <c r="AX57" s="30"/>
      <c r="AY57" s="29"/>
      <c r="AZ57" s="30"/>
      <c r="BA57" s="30"/>
      <c r="BB57" s="29"/>
      <c r="BC57" s="30"/>
      <c r="BD57" s="30"/>
      <c r="BE57" s="30"/>
      <c r="BF57" s="30"/>
      <c r="BG57" s="30"/>
      <c r="BH57" s="29"/>
      <c r="BI57" s="30"/>
      <c r="BJ57" s="30"/>
      <c r="BK57" s="30"/>
      <c r="BL57" s="29"/>
      <c r="BM57" s="30"/>
      <c r="BN57" s="29"/>
      <c r="BO57" s="30"/>
      <c r="BP57" s="30"/>
      <c r="BQ57" s="30"/>
      <c r="BR57" s="30"/>
      <c r="BS57" s="31"/>
      <c r="BT57" s="30"/>
      <c r="BU57" s="30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</row>
    <row r="58" spans="1:251" s="32" customFormat="1" x14ac:dyDescent="0.2">
      <c r="A58" s="11"/>
      <c r="B58" s="43"/>
      <c r="C58" s="11"/>
      <c r="D58" s="11"/>
      <c r="E58" s="12"/>
      <c r="F58" s="11"/>
      <c r="G58" s="13"/>
      <c r="H58" s="13"/>
      <c r="I58" s="13"/>
      <c r="J58" s="14"/>
      <c r="K58" s="15"/>
      <c r="L58" s="16"/>
      <c r="M58" s="16"/>
      <c r="N58" s="16"/>
      <c r="O58" s="16"/>
      <c r="P58" s="17"/>
      <c r="Q58" s="17"/>
      <c r="R58" s="17"/>
      <c r="S58" s="17"/>
      <c r="T58" s="17"/>
      <c r="U58" s="18"/>
      <c r="V58" s="17"/>
      <c r="W58" s="19"/>
      <c r="X58" s="17"/>
      <c r="Y58" s="20"/>
      <c r="Z58" s="17"/>
      <c r="AA58" s="20"/>
      <c r="AB58" s="21"/>
      <c r="AC58" s="22"/>
      <c r="AD58" s="23"/>
      <c r="AE58" s="24"/>
      <c r="AF58" s="23"/>
      <c r="AG58" s="23"/>
      <c r="AH58" s="23"/>
      <c r="AI58" s="25"/>
      <c r="AJ58" s="26"/>
      <c r="AK58" s="26"/>
      <c r="AL58" s="27"/>
      <c r="AM58" s="27"/>
      <c r="AN58" s="27"/>
      <c r="AO58" s="28"/>
      <c r="AP58" s="28"/>
      <c r="AQ58" s="28"/>
      <c r="AR58" s="28"/>
      <c r="AS58" s="28"/>
      <c r="AT58" s="28"/>
      <c r="AU58" s="11"/>
      <c r="AV58" s="30"/>
      <c r="AW58" s="30"/>
      <c r="AX58" s="30"/>
      <c r="AY58" s="29"/>
      <c r="AZ58" s="30"/>
      <c r="BA58" s="30"/>
      <c r="BB58" s="29"/>
      <c r="BC58" s="30"/>
      <c r="BD58" s="30"/>
      <c r="BE58" s="30"/>
      <c r="BF58" s="30"/>
      <c r="BG58" s="30"/>
      <c r="BH58" s="29"/>
      <c r="BI58" s="30"/>
      <c r="BJ58" s="30"/>
      <c r="BK58" s="30"/>
      <c r="BL58" s="29"/>
      <c r="BM58" s="30"/>
      <c r="BN58" s="29"/>
      <c r="BO58" s="30"/>
      <c r="BP58" s="30"/>
      <c r="BQ58" s="30"/>
      <c r="BR58" s="30"/>
      <c r="BS58" s="31"/>
      <c r="BT58" s="30"/>
      <c r="BU58" s="30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</row>
    <row r="59" spans="1:251" s="32" customFormat="1" x14ac:dyDescent="0.2">
      <c r="A59" s="11"/>
      <c r="B59" s="43"/>
      <c r="C59" s="11"/>
      <c r="D59" s="11"/>
      <c r="E59" s="12"/>
      <c r="F59" s="11"/>
      <c r="G59" s="13"/>
      <c r="H59" s="13"/>
      <c r="I59" s="13"/>
      <c r="J59" s="14"/>
      <c r="K59" s="15"/>
      <c r="L59" s="16"/>
      <c r="M59" s="16"/>
      <c r="N59" s="16"/>
      <c r="O59" s="16"/>
      <c r="P59" s="17"/>
      <c r="Q59" s="17"/>
      <c r="R59" s="17"/>
      <c r="S59" s="17"/>
      <c r="T59" s="17"/>
      <c r="U59" s="18"/>
      <c r="V59" s="17"/>
      <c r="W59" s="19"/>
      <c r="X59" s="17"/>
      <c r="Y59" s="20"/>
      <c r="Z59" s="17"/>
      <c r="AA59" s="20"/>
      <c r="AB59" s="21"/>
      <c r="AC59" s="22"/>
      <c r="AD59" s="23"/>
      <c r="AE59" s="24"/>
      <c r="AF59" s="23"/>
      <c r="AG59" s="23"/>
      <c r="AH59" s="23"/>
      <c r="AI59" s="25"/>
      <c r="AJ59" s="26"/>
      <c r="AK59" s="26"/>
      <c r="AL59" s="27"/>
      <c r="AM59" s="27"/>
      <c r="AN59" s="27"/>
      <c r="AO59" s="28"/>
      <c r="AP59" s="28"/>
      <c r="AQ59" s="28"/>
      <c r="AR59" s="28"/>
      <c r="AS59" s="28"/>
      <c r="AT59" s="28"/>
      <c r="AU59" s="11"/>
      <c r="AV59" s="30"/>
      <c r="AW59" s="30"/>
      <c r="AX59" s="30"/>
      <c r="AY59" s="29"/>
      <c r="AZ59" s="30"/>
      <c r="BA59" s="30"/>
      <c r="BB59" s="29"/>
      <c r="BC59" s="30"/>
      <c r="BD59" s="30"/>
      <c r="BE59" s="30"/>
      <c r="BF59" s="30"/>
      <c r="BG59" s="30"/>
      <c r="BH59" s="29"/>
      <c r="BI59" s="30"/>
      <c r="BJ59" s="30"/>
      <c r="BK59" s="30"/>
      <c r="BL59" s="29"/>
      <c r="BM59" s="30"/>
      <c r="BN59" s="29"/>
      <c r="BO59" s="30"/>
      <c r="BP59" s="30"/>
      <c r="BQ59" s="30"/>
      <c r="BR59" s="30"/>
      <c r="BS59" s="31"/>
      <c r="BT59" s="30"/>
      <c r="BU59" s="30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</row>
    <row r="60" spans="1:251" s="32" customFormat="1" x14ac:dyDescent="0.2">
      <c r="A60" s="11">
        <v>71</v>
      </c>
      <c r="B60" s="11" t="s">
        <v>53</v>
      </c>
      <c r="C60" s="11" t="s">
        <v>172</v>
      </c>
      <c r="D60" s="32" t="s">
        <v>138</v>
      </c>
      <c r="E60" s="12" t="s">
        <v>141</v>
      </c>
      <c r="F60" s="11" t="s">
        <v>139</v>
      </c>
      <c r="G60" s="13">
        <v>42555</v>
      </c>
      <c r="H60" s="13"/>
      <c r="I60" s="13">
        <v>43041</v>
      </c>
      <c r="J60" s="14">
        <v>43152</v>
      </c>
      <c r="K60" s="15">
        <v>115</v>
      </c>
      <c r="L60" s="16">
        <f t="shared" si="0"/>
        <v>597</v>
      </c>
      <c r="M60" s="16">
        <v>1105</v>
      </c>
      <c r="N60" s="16">
        <v>1070</v>
      </c>
      <c r="O60" s="16">
        <v>1125</v>
      </c>
      <c r="P60" s="17">
        <f t="shared" si="1"/>
        <v>1097.5</v>
      </c>
      <c r="Q60" s="17"/>
      <c r="R60" s="17"/>
      <c r="S60" s="17"/>
      <c r="T60" s="17"/>
      <c r="U60" s="18">
        <v>1475</v>
      </c>
      <c r="V60" s="17">
        <v>1500</v>
      </c>
      <c r="W60" s="17">
        <v>1485</v>
      </c>
      <c r="X60" s="17">
        <f t="shared" si="2"/>
        <v>1492.5</v>
      </c>
      <c r="Y60" s="20">
        <f t="shared" si="3"/>
        <v>2.5</v>
      </c>
      <c r="Z60" s="17">
        <f t="shared" si="4"/>
        <v>395</v>
      </c>
      <c r="AA60" s="20">
        <f t="shared" si="5"/>
        <v>3.5267857142857144</v>
      </c>
      <c r="AB60" s="21">
        <v>56.5</v>
      </c>
      <c r="AC60" s="22">
        <f t="shared" si="6"/>
        <v>6.8252819300000036</v>
      </c>
      <c r="AD60" s="23">
        <v>15.7506</v>
      </c>
      <c r="AE60" s="24">
        <f t="shared" si="7"/>
        <v>1.0678372881355933</v>
      </c>
      <c r="AF60" s="23">
        <v>0.33619399999999999</v>
      </c>
      <c r="AG60" s="23">
        <v>3.8147000000000002</v>
      </c>
      <c r="AH60" s="23">
        <v>0.42466599999999999</v>
      </c>
      <c r="AI60" s="25">
        <v>40.5</v>
      </c>
      <c r="AJ60" s="26">
        <v>3</v>
      </c>
      <c r="AK60" s="26">
        <v>6</v>
      </c>
      <c r="AL60" s="27">
        <v>17</v>
      </c>
      <c r="AM60" s="27">
        <v>13</v>
      </c>
      <c r="AN60" s="27">
        <f t="shared" si="8"/>
        <v>221</v>
      </c>
      <c r="AO60" s="28">
        <f>(AA60/3.56)*100</f>
        <v>99.06701444622793</v>
      </c>
      <c r="AP60" s="28">
        <f>(AE60/1.08)*100</f>
        <v>98.873822975517882</v>
      </c>
      <c r="AQ60" s="28">
        <f>(Y60/2.4)*100</f>
        <v>104.16666666666667</v>
      </c>
      <c r="AR60" s="28">
        <f>(AG60/3.7)*100</f>
        <v>103.1</v>
      </c>
      <c r="AS60" s="28">
        <f>(AI60/40.5)*100</f>
        <v>100</v>
      </c>
      <c r="AT60" s="28">
        <f t="shared" si="9"/>
        <v>100.9482022623053</v>
      </c>
      <c r="AU60" s="11"/>
      <c r="AV60" s="11"/>
      <c r="AW60" s="11"/>
      <c r="AX60" s="34"/>
      <c r="AY60" s="16"/>
      <c r="AZ60" s="34"/>
      <c r="BA60" s="34"/>
      <c r="BB60" s="16"/>
      <c r="BC60" s="16"/>
      <c r="BD60" s="11"/>
      <c r="BE60" s="11"/>
      <c r="BF60" s="11"/>
      <c r="BG60" s="34"/>
      <c r="BH60" s="16"/>
      <c r="BI60" s="34"/>
      <c r="BJ60" s="34"/>
      <c r="BK60" s="11"/>
      <c r="BL60" s="11"/>
      <c r="BM60" s="11"/>
      <c r="BN60" s="11"/>
      <c r="BO60" s="34"/>
      <c r="BP60" s="11"/>
      <c r="BQ60" s="11"/>
      <c r="BR60" s="11"/>
      <c r="BS60" s="25"/>
      <c r="BT60" s="34"/>
      <c r="BU60" s="34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</row>
    <row r="61" spans="1:251" x14ac:dyDescent="0.2">
      <c r="A61" s="11">
        <v>70</v>
      </c>
      <c r="B61" s="11" t="s">
        <v>53</v>
      </c>
      <c r="C61" s="11" t="s">
        <v>172</v>
      </c>
      <c r="D61" s="32" t="s">
        <v>138</v>
      </c>
      <c r="E61" s="12" t="s">
        <v>140</v>
      </c>
      <c r="F61" s="11" t="s">
        <v>139</v>
      </c>
      <c r="G61" s="13">
        <v>42531</v>
      </c>
      <c r="I61" s="13">
        <v>43041</v>
      </c>
      <c r="J61" s="14">
        <v>43152</v>
      </c>
      <c r="K61" s="15">
        <v>115</v>
      </c>
      <c r="L61" s="16">
        <f t="shared" si="0"/>
        <v>621</v>
      </c>
      <c r="M61" s="16">
        <v>1035</v>
      </c>
      <c r="N61" s="16">
        <v>1015</v>
      </c>
      <c r="O61" s="16">
        <v>1040</v>
      </c>
      <c r="P61" s="17">
        <f t="shared" si="1"/>
        <v>1027.5</v>
      </c>
      <c r="U61" s="18">
        <v>1410</v>
      </c>
      <c r="V61" s="17">
        <v>1430</v>
      </c>
      <c r="W61" s="17">
        <v>1430</v>
      </c>
      <c r="X61" s="17">
        <f t="shared" si="2"/>
        <v>1430</v>
      </c>
      <c r="Y61" s="20">
        <f t="shared" si="3"/>
        <v>2.3027375201288245</v>
      </c>
      <c r="Z61" s="17">
        <f t="shared" si="4"/>
        <v>402.5</v>
      </c>
      <c r="AA61" s="20">
        <f t="shared" si="5"/>
        <v>3.59375</v>
      </c>
      <c r="AB61" s="21">
        <v>56.5</v>
      </c>
      <c r="AC61" s="22">
        <f t="shared" si="6"/>
        <v>6.7461193700000042</v>
      </c>
      <c r="AD61" s="23">
        <v>15.5177</v>
      </c>
      <c r="AE61" s="24">
        <f t="shared" si="7"/>
        <v>1.1005460992907801</v>
      </c>
      <c r="AF61" s="23">
        <v>0.23543700000000001</v>
      </c>
      <c r="AG61" s="23">
        <v>3.5760700000000001</v>
      </c>
      <c r="AH61" s="23">
        <v>0.371583</v>
      </c>
      <c r="AI61" s="25">
        <v>40.5</v>
      </c>
      <c r="AJ61" s="26">
        <v>3</v>
      </c>
      <c r="AK61" s="26">
        <v>7</v>
      </c>
      <c r="AL61" s="27">
        <v>17</v>
      </c>
      <c r="AM61" s="27">
        <v>12</v>
      </c>
      <c r="AN61" s="27">
        <f t="shared" si="8"/>
        <v>204</v>
      </c>
      <c r="AO61" s="28">
        <f>(AA61/3.56)*100</f>
        <v>100.94803370786516</v>
      </c>
      <c r="AP61" s="28">
        <f t="shared" si="39"/>
        <v>101.90241660099815</v>
      </c>
      <c r="AQ61" s="28">
        <f>(Y61/2.4)*100</f>
        <v>95.947396672034358</v>
      </c>
      <c r="AR61" s="28">
        <f>(AG61/3.7)*100</f>
        <v>96.650540540540547</v>
      </c>
      <c r="AS61" s="28">
        <f>(AI61/40.5)*100</f>
        <v>100</v>
      </c>
      <c r="AT61" s="28">
        <f t="shared" si="9"/>
        <v>99.184480875074158</v>
      </c>
    </row>
    <row r="62" spans="1:251" s="35" customFormat="1" ht="15.75" x14ac:dyDescent="0.25">
      <c r="D62" s="49" t="s">
        <v>187</v>
      </c>
      <c r="E62" s="50"/>
      <c r="G62" s="51"/>
      <c r="H62" s="51"/>
      <c r="I62" s="51"/>
      <c r="J62" s="52"/>
      <c r="K62" s="53"/>
      <c r="L62" s="54"/>
      <c r="M62" s="54"/>
      <c r="N62" s="54"/>
      <c r="O62" s="54"/>
      <c r="P62" s="59"/>
      <c r="Q62" s="59"/>
      <c r="R62" s="59"/>
      <c r="S62" s="59"/>
      <c r="T62" s="59"/>
      <c r="U62" s="67"/>
      <c r="V62" s="59"/>
      <c r="W62" s="59"/>
      <c r="X62" s="59"/>
      <c r="Y62" s="65">
        <f>AVERAGE(Y60:Y61)</f>
        <v>2.401368760064412</v>
      </c>
      <c r="Z62" s="59"/>
      <c r="AA62" s="65">
        <f>AVERAGE(AA60:AA61)</f>
        <v>3.5602678571428572</v>
      </c>
      <c r="AB62" s="69"/>
      <c r="AC62" s="61"/>
      <c r="AD62" s="66"/>
      <c r="AE62" s="65">
        <f>AVERAGE(AE60:AE61)</f>
        <v>1.0841916937131866</v>
      </c>
      <c r="AF62" s="66"/>
      <c r="AG62" s="65">
        <f>AVERAGE(AG60:AG61)</f>
        <v>3.6953849999999999</v>
      </c>
      <c r="AH62" s="66"/>
      <c r="AI62" s="65">
        <f>AVERAGE(AI60:AI61)</f>
        <v>40.5</v>
      </c>
      <c r="AJ62" s="70"/>
      <c r="AK62" s="70"/>
      <c r="AL62" s="71"/>
      <c r="AM62" s="71"/>
      <c r="AN62" s="71"/>
      <c r="AO62" s="65">
        <f>AVERAGE(AO60:AO61)</f>
        <v>100.00752407704655</v>
      </c>
      <c r="AP62" s="65">
        <f t="shared" ref="AP62:AT62" si="43">AVERAGE(AP60:AP61)</f>
        <v>100.38811978825802</v>
      </c>
      <c r="AQ62" s="65">
        <f t="shared" si="43"/>
        <v>100.05703166935052</v>
      </c>
      <c r="AR62" s="65">
        <f t="shared" si="43"/>
        <v>99.875270270270278</v>
      </c>
      <c r="AS62" s="65">
        <f t="shared" si="43"/>
        <v>100</v>
      </c>
      <c r="AT62" s="65">
        <f t="shared" si="43"/>
        <v>100.06634156868972</v>
      </c>
      <c r="AX62" s="56"/>
      <c r="AY62" s="54"/>
      <c r="AZ62" s="56"/>
      <c r="BA62" s="56"/>
      <c r="BB62" s="54"/>
      <c r="BC62" s="54"/>
      <c r="BG62" s="56"/>
      <c r="BH62" s="54"/>
      <c r="BI62" s="56"/>
      <c r="BJ62" s="56"/>
      <c r="BO62" s="56"/>
      <c r="BS62" s="55"/>
      <c r="BT62" s="56"/>
      <c r="BU62" s="56"/>
    </row>
    <row r="63" spans="1:251" x14ac:dyDescent="0.2">
      <c r="D63" s="32"/>
      <c r="J63" s="14"/>
      <c r="M63" s="16"/>
      <c r="U63" s="18"/>
      <c r="AD63" s="23"/>
      <c r="AF63" s="23"/>
      <c r="AG63" s="23"/>
      <c r="AH63" s="23"/>
    </row>
    <row r="64" spans="1:251" x14ac:dyDescent="0.2">
      <c r="A64" s="11">
        <v>1</v>
      </c>
      <c r="B64" s="11" t="s">
        <v>53</v>
      </c>
      <c r="C64" s="11" t="s">
        <v>172</v>
      </c>
      <c r="D64" s="32" t="s">
        <v>62</v>
      </c>
      <c r="E64" s="12" t="s">
        <v>68</v>
      </c>
      <c r="F64" s="11" t="s">
        <v>51</v>
      </c>
      <c r="G64" s="13">
        <v>42562</v>
      </c>
      <c r="I64" s="13">
        <v>43041</v>
      </c>
      <c r="J64" s="14">
        <v>43152</v>
      </c>
      <c r="K64" s="15">
        <v>100</v>
      </c>
      <c r="L64" s="16">
        <f t="shared" si="0"/>
        <v>590</v>
      </c>
      <c r="M64" s="16">
        <v>1090</v>
      </c>
      <c r="N64" s="16">
        <v>1100</v>
      </c>
      <c r="O64" s="16">
        <v>1140</v>
      </c>
      <c r="P64" s="17">
        <f t="shared" si="1"/>
        <v>1120</v>
      </c>
      <c r="U64" s="18">
        <v>1695</v>
      </c>
      <c r="V64" s="17">
        <v>1725</v>
      </c>
      <c r="W64" s="19">
        <v>1720</v>
      </c>
      <c r="X64" s="17">
        <f t="shared" si="2"/>
        <v>1722.5</v>
      </c>
      <c r="Y64" s="20">
        <f t="shared" si="3"/>
        <v>2.9194915254237288</v>
      </c>
      <c r="Z64" s="17">
        <f t="shared" si="4"/>
        <v>602.5</v>
      </c>
      <c r="AA64" s="20">
        <f t="shared" si="5"/>
        <v>5.3794642857142856</v>
      </c>
      <c r="AB64" s="21">
        <v>57</v>
      </c>
      <c r="AC64" s="22">
        <f t="shared" si="6"/>
        <v>7.1063490000000016</v>
      </c>
      <c r="AD64" s="23">
        <v>17.612100000000002</v>
      </c>
      <c r="AE64" s="24">
        <f t="shared" si="7"/>
        <v>1.039061946902655</v>
      </c>
      <c r="AF64" s="23">
        <v>0.22784599999999999</v>
      </c>
      <c r="AG64" s="23">
        <v>3.5935299999999999</v>
      </c>
      <c r="AH64" s="23">
        <v>0.42069800000000002</v>
      </c>
      <c r="AI64" s="25">
        <v>46.5</v>
      </c>
      <c r="AJ64" s="26">
        <v>2</v>
      </c>
      <c r="AK64" s="26">
        <v>7</v>
      </c>
      <c r="AL64" s="27">
        <v>17.5</v>
      </c>
      <c r="AM64" s="27">
        <v>14</v>
      </c>
      <c r="AN64" s="27">
        <f t="shared" si="8"/>
        <v>245</v>
      </c>
      <c r="AO64" s="28">
        <f>(AA64/4.35)*100</f>
        <v>123.66584564860428</v>
      </c>
      <c r="AP64" s="28">
        <f>(AE64/1.04)*100</f>
        <v>99.909802586793745</v>
      </c>
      <c r="AQ64" s="28">
        <f>(Y64/2.43)*100</f>
        <v>120.143684173816</v>
      </c>
      <c r="AR64" s="28">
        <f>(AG64/3.66)*100</f>
        <v>98.183879781420757</v>
      </c>
      <c r="AS64" s="28">
        <f t="shared" si="42"/>
        <v>112.31884057971016</v>
      </c>
      <c r="AT64" s="28">
        <f t="shared" si="9"/>
        <v>111.9791110609584</v>
      </c>
      <c r="AU64" s="11" t="s">
        <v>204</v>
      </c>
      <c r="AV64" s="30"/>
      <c r="AW64" s="30"/>
      <c r="AX64" s="30"/>
      <c r="AY64" s="29"/>
      <c r="AZ64" s="30"/>
      <c r="BA64" s="30"/>
      <c r="BC64" s="30"/>
      <c r="BD64" s="30"/>
      <c r="BE64" s="30"/>
      <c r="BF64" s="30"/>
      <c r="BG64" s="30"/>
      <c r="BH64" s="29"/>
      <c r="BI64" s="30"/>
      <c r="BJ64" s="30"/>
      <c r="BK64" s="30"/>
      <c r="BL64" s="29"/>
      <c r="BM64" s="30"/>
      <c r="BN64" s="29"/>
      <c r="BO64" s="30"/>
      <c r="BP64" s="30"/>
      <c r="BQ64" s="30"/>
      <c r="BR64" s="30"/>
      <c r="BS64" s="31"/>
      <c r="BT64" s="30"/>
      <c r="BU64" s="30"/>
    </row>
    <row r="65" spans="1:251" x14ac:dyDescent="0.2">
      <c r="A65" s="11">
        <v>5</v>
      </c>
      <c r="B65" s="11" t="s">
        <v>53</v>
      </c>
      <c r="C65" s="11" t="s">
        <v>172</v>
      </c>
      <c r="D65" s="32" t="s">
        <v>62</v>
      </c>
      <c r="E65" s="12" t="s">
        <v>72</v>
      </c>
      <c r="F65" s="11" t="s">
        <v>51</v>
      </c>
      <c r="G65" s="36">
        <v>42521</v>
      </c>
      <c r="I65" s="13">
        <v>43041</v>
      </c>
      <c r="J65" s="14">
        <v>43152</v>
      </c>
      <c r="K65" s="15">
        <v>100</v>
      </c>
      <c r="L65" s="16">
        <f t="shared" si="0"/>
        <v>631</v>
      </c>
      <c r="M65" s="16">
        <v>914</v>
      </c>
      <c r="N65" s="16">
        <v>936</v>
      </c>
      <c r="O65" s="16">
        <v>972</v>
      </c>
      <c r="P65" s="17">
        <f t="shared" si="1"/>
        <v>954</v>
      </c>
      <c r="U65" s="18">
        <v>1405</v>
      </c>
      <c r="V65" s="17">
        <v>1435</v>
      </c>
      <c r="W65" s="19">
        <v>1445</v>
      </c>
      <c r="X65" s="17">
        <f t="shared" si="2"/>
        <v>1440</v>
      </c>
      <c r="Y65" s="20">
        <f t="shared" si="3"/>
        <v>2.2820919175911252</v>
      </c>
      <c r="Z65" s="17">
        <f t="shared" si="4"/>
        <v>486</v>
      </c>
      <c r="AA65" s="20">
        <f t="shared" si="5"/>
        <v>4.3392857142857144</v>
      </c>
      <c r="AB65" s="21">
        <v>57</v>
      </c>
      <c r="AC65" s="22">
        <f t="shared" si="6"/>
        <v>6.9741924699999984</v>
      </c>
      <c r="AD65" s="23">
        <v>15.3215</v>
      </c>
      <c r="AE65" s="24">
        <f t="shared" si="7"/>
        <v>1.0904982206405693</v>
      </c>
      <c r="AF65" s="23">
        <v>0.19269600000000001</v>
      </c>
      <c r="AG65" s="23">
        <v>3.7560199999999999</v>
      </c>
      <c r="AH65" s="23">
        <v>0.371583</v>
      </c>
      <c r="AI65" s="25">
        <v>46.5</v>
      </c>
      <c r="AJ65" s="26">
        <v>2</v>
      </c>
      <c r="AK65" s="26">
        <v>7</v>
      </c>
      <c r="AL65" s="27">
        <v>17</v>
      </c>
      <c r="AM65" s="27">
        <v>13</v>
      </c>
      <c r="AN65" s="27">
        <f t="shared" si="8"/>
        <v>221</v>
      </c>
      <c r="AO65" s="28">
        <f t="shared" ref="AO65:AO66" si="44">(AA65/4.35)*100</f>
        <v>99.753694581280797</v>
      </c>
      <c r="AP65" s="28">
        <f t="shared" ref="AP65:AP66" si="45">(AE65/1.04)*100</f>
        <v>104.85559813851629</v>
      </c>
      <c r="AQ65" s="28">
        <f t="shared" ref="AQ65:AQ66" si="46">(Y65/2.43)*100</f>
        <v>93.913247637494862</v>
      </c>
      <c r="AR65" s="28">
        <f t="shared" ref="AR65:AR66" si="47">(AG65/3.66)*100</f>
        <v>102.62349726775956</v>
      </c>
      <c r="AS65" s="28">
        <f t="shared" si="42"/>
        <v>112.31884057971016</v>
      </c>
      <c r="AT65" s="28">
        <f t="shared" si="9"/>
        <v>101.43646104110941</v>
      </c>
      <c r="AV65" s="30"/>
      <c r="AW65" s="30"/>
      <c r="AX65" s="30"/>
      <c r="AY65" s="29"/>
      <c r="AZ65" s="30"/>
      <c r="BA65" s="30"/>
      <c r="BC65" s="30"/>
      <c r="BD65" s="30"/>
      <c r="BE65" s="30"/>
      <c r="BF65" s="30"/>
      <c r="BG65" s="30"/>
      <c r="BH65" s="29"/>
      <c r="BI65" s="30"/>
      <c r="BJ65" s="30"/>
      <c r="BK65" s="30"/>
      <c r="BL65" s="29"/>
      <c r="BM65" s="30"/>
      <c r="BN65" s="29"/>
      <c r="BO65" s="30"/>
      <c r="BP65" s="30"/>
      <c r="BQ65" s="30"/>
      <c r="BR65" s="30"/>
      <c r="BS65" s="31"/>
      <c r="BT65" s="30"/>
      <c r="BU65" s="30"/>
    </row>
    <row r="66" spans="1:251" x14ac:dyDescent="0.2">
      <c r="A66" s="11">
        <v>2</v>
      </c>
      <c r="B66" s="11" t="s">
        <v>53</v>
      </c>
      <c r="C66" s="11" t="s">
        <v>172</v>
      </c>
      <c r="D66" s="32" t="s">
        <v>62</v>
      </c>
      <c r="E66" s="12" t="s">
        <v>69</v>
      </c>
      <c r="F66" s="11" t="s">
        <v>51</v>
      </c>
      <c r="G66" s="13">
        <v>42514</v>
      </c>
      <c r="I66" s="13">
        <v>43041</v>
      </c>
      <c r="J66" s="14">
        <v>43152</v>
      </c>
      <c r="K66" s="15">
        <v>100</v>
      </c>
      <c r="L66" s="16">
        <f t="shared" si="0"/>
        <v>638</v>
      </c>
      <c r="M66" s="16">
        <v>910</v>
      </c>
      <c r="N66" s="16">
        <v>944</v>
      </c>
      <c r="O66" s="16">
        <v>980</v>
      </c>
      <c r="P66" s="17">
        <f t="shared" si="1"/>
        <v>962</v>
      </c>
      <c r="U66" s="18">
        <v>1295</v>
      </c>
      <c r="V66" s="17">
        <v>1390</v>
      </c>
      <c r="W66" s="19">
        <v>1280</v>
      </c>
      <c r="X66" s="17">
        <f t="shared" si="2"/>
        <v>1335</v>
      </c>
      <c r="Y66" s="20">
        <f t="shared" si="3"/>
        <v>2.092476489028213</v>
      </c>
      <c r="Z66" s="17">
        <f t="shared" si="4"/>
        <v>373</v>
      </c>
      <c r="AA66" s="20">
        <f t="shared" si="5"/>
        <v>3.3303571428571428</v>
      </c>
      <c r="AB66" s="21">
        <v>57</v>
      </c>
      <c r="AC66" s="22">
        <f t="shared" si="6"/>
        <v>6.9581710800000014</v>
      </c>
      <c r="AD66" s="23">
        <v>12.995900000000001</v>
      </c>
      <c r="AE66" s="24">
        <f t="shared" si="7"/>
        <v>1.0035444015444015</v>
      </c>
      <c r="AF66" s="23">
        <v>0.13450000000000001</v>
      </c>
      <c r="AG66" s="23">
        <v>3.645</v>
      </c>
      <c r="AH66" s="23">
        <v>0.33689999999999998</v>
      </c>
      <c r="AI66" s="25">
        <v>37.5</v>
      </c>
      <c r="AJ66" s="26">
        <v>2</v>
      </c>
      <c r="AK66" s="26">
        <v>6</v>
      </c>
      <c r="AL66" s="27">
        <v>14.5</v>
      </c>
      <c r="AM66" s="27">
        <v>12</v>
      </c>
      <c r="AN66" s="27">
        <f t="shared" si="8"/>
        <v>174</v>
      </c>
      <c r="AO66" s="28">
        <f t="shared" si="44"/>
        <v>76.559934318555008</v>
      </c>
      <c r="AP66" s="28">
        <f t="shared" si="45"/>
        <v>96.494653994653987</v>
      </c>
      <c r="AQ66" s="28">
        <f t="shared" si="46"/>
        <v>86.110143581407939</v>
      </c>
      <c r="AR66" s="28">
        <f t="shared" si="47"/>
        <v>99.590163934426229</v>
      </c>
      <c r="AS66" s="28">
        <f t="shared" si="42"/>
        <v>90.579710144927532</v>
      </c>
      <c r="AT66" s="28">
        <f t="shared" si="9"/>
        <v>88.464943612156887</v>
      </c>
      <c r="AV66" s="30"/>
      <c r="AW66" s="30"/>
      <c r="AX66" s="30"/>
      <c r="AY66" s="29"/>
      <c r="AZ66" s="30"/>
      <c r="BA66" s="30"/>
      <c r="BB66" s="29"/>
      <c r="BC66" s="30"/>
      <c r="BD66" s="30"/>
      <c r="BE66" s="30"/>
      <c r="BF66" s="30"/>
      <c r="BG66" s="30"/>
      <c r="BH66" s="29"/>
      <c r="BI66" s="30"/>
      <c r="BJ66" s="30"/>
      <c r="BK66" s="30"/>
      <c r="BL66" s="29"/>
      <c r="BM66" s="30"/>
      <c r="BN66" s="29"/>
      <c r="BO66" s="30"/>
      <c r="BP66" s="30"/>
      <c r="BQ66" s="30"/>
      <c r="BR66" s="30"/>
      <c r="BS66" s="31"/>
      <c r="BT66" s="30"/>
      <c r="BU66" s="30"/>
    </row>
    <row r="67" spans="1:251" s="35" customFormat="1" ht="15.75" x14ac:dyDescent="0.25">
      <c r="D67" s="49" t="s">
        <v>184</v>
      </c>
      <c r="E67" s="50"/>
      <c r="G67" s="51"/>
      <c r="H67" s="51"/>
      <c r="I67" s="51"/>
      <c r="J67" s="52"/>
      <c r="K67" s="53"/>
      <c r="L67" s="54"/>
      <c r="M67" s="54"/>
      <c r="N67" s="54"/>
      <c r="O67" s="54"/>
      <c r="P67" s="59"/>
      <c r="Q67" s="59"/>
      <c r="R67" s="59"/>
      <c r="S67" s="59"/>
      <c r="T67" s="59"/>
      <c r="U67" s="67"/>
      <c r="V67" s="59"/>
      <c r="W67" s="68"/>
      <c r="X67" s="59"/>
      <c r="Y67" s="65">
        <f>AVERAGE(Y64:Y66)</f>
        <v>2.4313533106810223</v>
      </c>
      <c r="Z67" s="59"/>
      <c r="AA67" s="65">
        <f>AVERAGE(AA64:AA66)</f>
        <v>4.3497023809523805</v>
      </c>
      <c r="AB67" s="69"/>
      <c r="AC67" s="61"/>
      <c r="AD67" s="66"/>
      <c r="AE67" s="65">
        <f>AVERAGE(AE64:AE66)</f>
        <v>1.0443681896958752</v>
      </c>
      <c r="AF67" s="66"/>
      <c r="AG67" s="65">
        <f>AVERAGE(AG64:AG66)</f>
        <v>3.6648499999999999</v>
      </c>
      <c r="AH67" s="66"/>
      <c r="AI67" s="65">
        <f>AVERAGE(AI64:AI66)</f>
        <v>43.5</v>
      </c>
      <c r="AJ67" s="70"/>
      <c r="AK67" s="70"/>
      <c r="AL67" s="71"/>
      <c r="AM67" s="71"/>
      <c r="AN67" s="71"/>
      <c r="AO67" s="65">
        <f>AVERAGE(AO64:AO66)</f>
        <v>99.99315818281336</v>
      </c>
      <c r="AP67" s="65">
        <f t="shared" ref="AP67:AT67" si="48">AVERAGE(AP64:AP66)</f>
        <v>100.42001823998801</v>
      </c>
      <c r="AQ67" s="65">
        <f t="shared" si="48"/>
        <v>100.05569179757293</v>
      </c>
      <c r="AR67" s="65">
        <f t="shared" si="48"/>
        <v>100.1325136612022</v>
      </c>
      <c r="AS67" s="65">
        <f t="shared" si="48"/>
        <v>105.07246376811595</v>
      </c>
      <c r="AT67" s="65">
        <f t="shared" si="48"/>
        <v>100.62683857140824</v>
      </c>
      <c r="AV67" s="73"/>
      <c r="AW67" s="73"/>
      <c r="AX67" s="73"/>
      <c r="AY67" s="72"/>
      <c r="AZ67" s="73"/>
      <c r="BA67" s="73"/>
      <c r="BB67" s="72"/>
      <c r="BC67" s="73"/>
      <c r="BD67" s="73"/>
      <c r="BE67" s="73"/>
      <c r="BF67" s="73"/>
      <c r="BG67" s="73"/>
      <c r="BH67" s="72"/>
      <c r="BI67" s="73"/>
      <c r="BJ67" s="73"/>
      <c r="BK67" s="73"/>
      <c r="BL67" s="72"/>
      <c r="BM67" s="73"/>
      <c r="BN67" s="72"/>
      <c r="BO67" s="73"/>
      <c r="BP67" s="73"/>
      <c r="BQ67" s="73"/>
      <c r="BR67" s="73"/>
      <c r="BS67" s="74"/>
      <c r="BT67" s="73"/>
      <c r="BU67" s="73"/>
    </row>
    <row r="68" spans="1:251" x14ac:dyDescent="0.2">
      <c r="D68" s="32"/>
      <c r="J68" s="14"/>
      <c r="M68" s="16"/>
      <c r="U68" s="18"/>
      <c r="W68" s="19"/>
      <c r="AD68" s="23"/>
      <c r="AF68" s="23"/>
      <c r="AG68" s="23"/>
      <c r="AH68" s="23"/>
      <c r="AV68" s="30"/>
      <c r="AW68" s="30"/>
      <c r="AX68" s="30"/>
      <c r="AY68" s="29"/>
      <c r="AZ68" s="30"/>
      <c r="BA68" s="30"/>
      <c r="BB68" s="29"/>
      <c r="BC68" s="30"/>
      <c r="BD68" s="30"/>
      <c r="BE68" s="30"/>
      <c r="BF68" s="30"/>
      <c r="BG68" s="30"/>
      <c r="BH68" s="29"/>
      <c r="BI68" s="30"/>
      <c r="BJ68" s="30"/>
      <c r="BK68" s="30"/>
      <c r="BL68" s="29"/>
      <c r="BM68" s="30"/>
      <c r="BN68" s="29"/>
      <c r="BO68" s="30"/>
      <c r="BP68" s="30"/>
      <c r="BQ68" s="30"/>
      <c r="BR68" s="30"/>
      <c r="BS68" s="31"/>
      <c r="BT68" s="30"/>
      <c r="BU68" s="30"/>
    </row>
    <row r="69" spans="1:251" x14ac:dyDescent="0.2">
      <c r="A69" s="11">
        <v>73</v>
      </c>
      <c r="B69" s="11" t="s">
        <v>53</v>
      </c>
      <c r="C69" s="11" t="s">
        <v>172</v>
      </c>
      <c r="D69" s="32" t="s">
        <v>142</v>
      </c>
      <c r="E69" s="12" t="s">
        <v>144</v>
      </c>
      <c r="F69" s="11" t="s">
        <v>59</v>
      </c>
      <c r="G69" s="13">
        <v>42497</v>
      </c>
      <c r="I69" s="13">
        <v>43041</v>
      </c>
      <c r="J69" s="14">
        <v>43152</v>
      </c>
      <c r="K69" s="15">
        <v>116</v>
      </c>
      <c r="L69" s="16">
        <f t="shared" si="0"/>
        <v>655</v>
      </c>
      <c r="M69" s="16">
        <v>1100</v>
      </c>
      <c r="N69" s="16">
        <v>1145</v>
      </c>
      <c r="O69" s="16">
        <v>1200</v>
      </c>
      <c r="P69" s="17">
        <f t="shared" si="1"/>
        <v>1172.5</v>
      </c>
      <c r="U69" s="18">
        <v>1845</v>
      </c>
      <c r="V69" s="17">
        <v>1875</v>
      </c>
      <c r="W69" s="17">
        <v>1840</v>
      </c>
      <c r="X69" s="17">
        <f t="shared" si="2"/>
        <v>1857.5</v>
      </c>
      <c r="Y69" s="20">
        <f t="shared" si="3"/>
        <v>2.83587786259542</v>
      </c>
      <c r="Z69" s="17">
        <f t="shared" si="4"/>
        <v>685</v>
      </c>
      <c r="AA69" s="20">
        <f t="shared" si="5"/>
        <v>6.1160714285714288</v>
      </c>
      <c r="AB69" s="21">
        <v>56.5</v>
      </c>
      <c r="AC69" s="22">
        <f t="shared" si="6"/>
        <v>6.6723672500000051</v>
      </c>
      <c r="AD69" s="23">
        <v>19.537800000000001</v>
      </c>
      <c r="AE69" s="24">
        <f t="shared" si="7"/>
        <v>1.0589593495934959</v>
      </c>
      <c r="AF69" s="23">
        <v>0.291153</v>
      </c>
      <c r="AG69" s="23">
        <v>4.2957599999999996</v>
      </c>
      <c r="AH69" s="23">
        <v>0.22329599999999999</v>
      </c>
      <c r="AI69" s="25">
        <v>44.5</v>
      </c>
      <c r="AJ69" s="26">
        <v>1</v>
      </c>
      <c r="AK69" s="26">
        <v>6</v>
      </c>
      <c r="AL69" s="27">
        <v>16.5</v>
      </c>
      <c r="AM69" s="27">
        <v>13</v>
      </c>
      <c r="AN69" s="27">
        <f t="shared" si="8"/>
        <v>214.5</v>
      </c>
      <c r="AO69" s="28">
        <f>(AA69/3.96)*100</f>
        <v>154.44624819624821</v>
      </c>
      <c r="AP69" s="28">
        <f>(AE69/1.09)*100</f>
        <v>97.152233907660161</v>
      </c>
      <c r="AQ69" s="28">
        <f>(Y69/2.35)*100</f>
        <v>120.67565372746468</v>
      </c>
      <c r="AR69" s="28">
        <f>(AG69/3.88)*100</f>
        <v>110.71546391752575</v>
      </c>
      <c r="AS69" s="28">
        <f>(AI69/40.6)*100</f>
        <v>109.60591133004927</v>
      </c>
      <c r="AT69" s="28">
        <f t="shared" si="9"/>
        <v>123.00313590240953</v>
      </c>
      <c r="AU69" s="11" t="s">
        <v>205</v>
      </c>
    </row>
    <row r="70" spans="1:251" x14ac:dyDescent="0.2">
      <c r="A70" s="11">
        <v>86</v>
      </c>
      <c r="B70" s="11" t="s">
        <v>53</v>
      </c>
      <c r="C70" s="11" t="s">
        <v>172</v>
      </c>
      <c r="D70" s="11" t="s">
        <v>155</v>
      </c>
      <c r="E70" s="12" t="s">
        <v>158</v>
      </c>
      <c r="F70" s="11" t="s">
        <v>59</v>
      </c>
      <c r="G70" s="13">
        <v>42596</v>
      </c>
      <c r="I70" s="13">
        <v>43041</v>
      </c>
      <c r="J70" s="14">
        <v>43152</v>
      </c>
      <c r="K70" s="15">
        <v>120</v>
      </c>
      <c r="L70" s="16">
        <f t="shared" si="0"/>
        <v>556</v>
      </c>
      <c r="M70" s="16">
        <v>1005</v>
      </c>
      <c r="N70" s="16">
        <v>1055</v>
      </c>
      <c r="O70" s="16">
        <v>1140</v>
      </c>
      <c r="P70" s="17">
        <f t="shared" si="1"/>
        <v>1097.5</v>
      </c>
      <c r="U70" s="18">
        <v>1585</v>
      </c>
      <c r="V70" s="15">
        <v>1595</v>
      </c>
      <c r="W70" s="19">
        <v>1600</v>
      </c>
      <c r="X70" s="17">
        <f t="shared" si="2"/>
        <v>1597.5</v>
      </c>
      <c r="Y70" s="20">
        <f t="shared" si="3"/>
        <v>2.8732014388489207</v>
      </c>
      <c r="Z70" s="17">
        <f t="shared" si="4"/>
        <v>500</v>
      </c>
      <c r="AA70" s="20">
        <f t="shared" si="5"/>
        <v>4.4642857142857144</v>
      </c>
      <c r="AB70" s="21">
        <v>57</v>
      </c>
      <c r="AC70" s="22">
        <f t="shared" si="6"/>
        <v>7.2655907199999987</v>
      </c>
      <c r="AD70" s="23">
        <v>16.0337</v>
      </c>
      <c r="AE70" s="24">
        <f t="shared" si="7"/>
        <v>1.0115899053627759</v>
      </c>
      <c r="AF70" s="23">
        <v>0.17694399999999999</v>
      </c>
      <c r="AG70" s="23">
        <v>4.42746</v>
      </c>
      <c r="AH70" s="23">
        <v>0.21233299999999999</v>
      </c>
      <c r="AI70" s="25">
        <v>41.5</v>
      </c>
      <c r="AJ70" s="26">
        <v>1</v>
      </c>
      <c r="AK70" s="26">
        <v>6</v>
      </c>
      <c r="AL70" s="27">
        <v>14</v>
      </c>
      <c r="AM70" s="27">
        <v>10</v>
      </c>
      <c r="AN70" s="27">
        <f t="shared" si="8"/>
        <v>140</v>
      </c>
      <c r="AO70" s="28">
        <f t="shared" ref="AO70:AO73" si="49">(AA70/3.96)*100</f>
        <v>112.73448773448773</v>
      </c>
      <c r="AP70" s="28">
        <f t="shared" ref="AP70:AP73" si="50">(AE70/1.09)*100</f>
        <v>92.806413336034481</v>
      </c>
      <c r="AQ70" s="28">
        <f t="shared" ref="AQ70:AQ73" si="51">(Y70/2.35)*100</f>
        <v>122.26389101484769</v>
      </c>
      <c r="AR70" s="28">
        <f t="shared" ref="AR70:AR73" si="52">(AG70/3.88)*100</f>
        <v>114.109793814433</v>
      </c>
      <c r="AS70" s="28">
        <f t="shared" ref="AS70:AS73" si="53">(AI70/40.6)*100</f>
        <v>102.21674876847291</v>
      </c>
      <c r="AT70" s="28">
        <f t="shared" si="9"/>
        <v>109.87804083025665</v>
      </c>
      <c r="AV70" s="30"/>
      <c r="AW70" s="30"/>
      <c r="AX70" s="30"/>
      <c r="AY70" s="29"/>
      <c r="AZ70" s="30"/>
      <c r="BA70" s="30"/>
      <c r="BB70" s="29"/>
      <c r="BC70" s="30"/>
      <c r="BD70" s="30"/>
      <c r="BE70" s="30"/>
      <c r="BF70" s="30"/>
      <c r="BG70" s="30"/>
      <c r="BH70" s="29"/>
      <c r="BI70" s="30"/>
      <c r="BJ70" s="30"/>
      <c r="BK70" s="30"/>
      <c r="BL70" s="29"/>
      <c r="BM70" s="30"/>
      <c r="BN70" s="29"/>
      <c r="BO70" s="30"/>
      <c r="BP70" s="30"/>
      <c r="BQ70" s="30"/>
      <c r="BR70" s="30"/>
      <c r="BS70" s="31"/>
      <c r="BT70" s="30"/>
      <c r="BU70" s="30"/>
    </row>
    <row r="71" spans="1:251" x14ac:dyDescent="0.2">
      <c r="A71" s="11">
        <v>93</v>
      </c>
      <c r="B71" s="11" t="s">
        <v>53</v>
      </c>
      <c r="C71" s="11" t="s">
        <v>172</v>
      </c>
      <c r="D71" s="32" t="s">
        <v>48</v>
      </c>
      <c r="E71" s="12" t="s">
        <v>176</v>
      </c>
      <c r="F71" s="11" t="s">
        <v>59</v>
      </c>
      <c r="G71" s="13">
        <v>42493</v>
      </c>
      <c r="I71" s="13">
        <v>43041</v>
      </c>
      <c r="J71" s="14">
        <v>43152</v>
      </c>
      <c r="K71" s="15">
        <v>127</v>
      </c>
      <c r="L71" s="16">
        <f t="shared" si="0"/>
        <v>659</v>
      </c>
      <c r="M71" s="16"/>
      <c r="N71" s="16">
        <v>804</v>
      </c>
      <c r="O71" s="16">
        <v>840</v>
      </c>
      <c r="P71" s="17">
        <f t="shared" si="1"/>
        <v>822</v>
      </c>
      <c r="U71" s="18">
        <v>1230</v>
      </c>
      <c r="V71" s="17">
        <v>1235</v>
      </c>
      <c r="W71" s="17">
        <v>1230</v>
      </c>
      <c r="X71" s="17">
        <f t="shared" si="2"/>
        <v>1232.5</v>
      </c>
      <c r="Y71" s="20">
        <f t="shared" si="3"/>
        <v>1.870257966616085</v>
      </c>
      <c r="Z71" s="17">
        <f t="shared" si="4"/>
        <v>410.5</v>
      </c>
      <c r="AA71" s="20">
        <f t="shared" si="5"/>
        <v>3.6651785714285716</v>
      </c>
      <c r="AB71" s="21">
        <v>55</v>
      </c>
      <c r="AC71" s="22">
        <f t="shared" si="6"/>
        <v>5.9019340700000029</v>
      </c>
      <c r="AD71" s="23">
        <v>15.16</v>
      </c>
      <c r="AE71" s="24">
        <f t="shared" si="7"/>
        <v>1.2325203252032519</v>
      </c>
      <c r="AF71" s="23">
        <v>0.22489600000000001</v>
      </c>
      <c r="AG71" s="23">
        <v>3.3971300000000002</v>
      </c>
      <c r="AH71" s="23">
        <v>0.24779599999999999</v>
      </c>
      <c r="AI71" s="25">
        <v>43</v>
      </c>
      <c r="AJ71" s="26">
        <v>2</v>
      </c>
      <c r="AK71" s="26">
        <v>6</v>
      </c>
      <c r="AL71" s="27">
        <v>15</v>
      </c>
      <c r="AM71" s="27">
        <v>12</v>
      </c>
      <c r="AN71" s="27">
        <f t="shared" si="8"/>
        <v>180</v>
      </c>
      <c r="AO71" s="28">
        <f t="shared" si="49"/>
        <v>92.555014430014438</v>
      </c>
      <c r="AP71" s="28">
        <f t="shared" si="50"/>
        <v>113.07525919295888</v>
      </c>
      <c r="AQ71" s="28">
        <f t="shared" si="51"/>
        <v>79.585445387918512</v>
      </c>
      <c r="AR71" s="28">
        <f t="shared" si="52"/>
        <v>87.554896907216502</v>
      </c>
      <c r="AS71" s="28">
        <f t="shared" si="53"/>
        <v>105.91133004926108</v>
      </c>
      <c r="AT71" s="28">
        <f t="shared" si="9"/>
        <v>94.400757631549226</v>
      </c>
      <c r="AV71" s="30"/>
      <c r="AW71" s="30"/>
      <c r="AX71" s="30"/>
      <c r="AY71" s="29"/>
      <c r="AZ71" s="30"/>
      <c r="BA71" s="30"/>
      <c r="BB71" s="29"/>
      <c r="BC71" s="30"/>
      <c r="BD71" s="30"/>
      <c r="BE71" s="30"/>
      <c r="BF71" s="30"/>
      <c r="BG71" s="30"/>
      <c r="BH71" s="29"/>
      <c r="BI71" s="30"/>
      <c r="BJ71" s="30"/>
      <c r="BK71" s="30"/>
      <c r="BL71" s="29"/>
      <c r="BM71" s="30"/>
      <c r="BN71" s="29"/>
      <c r="BO71" s="30"/>
      <c r="BP71" s="30"/>
      <c r="BQ71" s="30"/>
      <c r="BR71" s="30"/>
      <c r="BS71" s="31"/>
      <c r="BT71" s="30"/>
      <c r="BU71" s="30"/>
    </row>
    <row r="72" spans="1:251" x14ac:dyDescent="0.2">
      <c r="A72" s="11">
        <v>55</v>
      </c>
      <c r="B72" s="11" t="s">
        <v>53</v>
      </c>
      <c r="C72" s="11" t="s">
        <v>172</v>
      </c>
      <c r="D72" s="11" t="s">
        <v>117</v>
      </c>
      <c r="E72" s="12" t="s">
        <v>122</v>
      </c>
      <c r="F72" s="11" t="s">
        <v>59</v>
      </c>
      <c r="G72" s="13">
        <v>42612</v>
      </c>
      <c r="I72" s="13">
        <v>43041</v>
      </c>
      <c r="J72" s="14">
        <v>43152</v>
      </c>
      <c r="K72" s="15">
        <v>111</v>
      </c>
      <c r="L72" s="16">
        <f t="shared" si="0"/>
        <v>540</v>
      </c>
      <c r="M72" s="16">
        <v>760</v>
      </c>
      <c r="N72" s="16">
        <v>800</v>
      </c>
      <c r="O72" s="16">
        <v>844</v>
      </c>
      <c r="P72" s="17">
        <f t="shared" si="1"/>
        <v>822</v>
      </c>
      <c r="U72" s="18">
        <v>1160</v>
      </c>
      <c r="V72" s="17">
        <v>1185</v>
      </c>
      <c r="W72" s="19">
        <v>1190</v>
      </c>
      <c r="X72" s="17">
        <f t="shared" si="2"/>
        <v>1187.5</v>
      </c>
      <c r="Y72" s="20">
        <f t="shared" si="3"/>
        <v>2.199074074074074</v>
      </c>
      <c r="Z72" s="17">
        <f t="shared" si="4"/>
        <v>365.5</v>
      </c>
      <c r="AA72" s="20">
        <f t="shared" si="5"/>
        <v>3.2633928571428572</v>
      </c>
      <c r="AB72" s="21">
        <v>53</v>
      </c>
      <c r="AC72" s="22">
        <f t="shared" si="6"/>
        <v>5.3327600000000013</v>
      </c>
      <c r="AD72" s="23">
        <v>12.4237</v>
      </c>
      <c r="AE72" s="24">
        <f t="shared" si="7"/>
        <v>1.0710086206896552</v>
      </c>
      <c r="AF72" s="23">
        <v>0.198245</v>
      </c>
      <c r="AG72" s="23">
        <v>3.6105399999999999</v>
      </c>
      <c r="AH72" s="23">
        <v>0.321745</v>
      </c>
      <c r="AI72" s="25">
        <v>35.5</v>
      </c>
      <c r="AJ72" s="26">
        <v>2</v>
      </c>
      <c r="AK72" s="26">
        <v>6</v>
      </c>
      <c r="AL72" s="27">
        <v>14.5</v>
      </c>
      <c r="AM72" s="27">
        <v>12</v>
      </c>
      <c r="AN72" s="27">
        <f t="shared" si="8"/>
        <v>174</v>
      </c>
      <c r="AO72" s="28">
        <f t="shared" si="49"/>
        <v>82.408910533910543</v>
      </c>
      <c r="AP72" s="28">
        <f t="shared" si="50"/>
        <v>98.257671622904141</v>
      </c>
      <c r="AQ72" s="28">
        <f t="shared" si="51"/>
        <v>93.577620173364849</v>
      </c>
      <c r="AR72" s="28">
        <f t="shared" si="52"/>
        <v>93.055154639175257</v>
      </c>
      <c r="AS72" s="28">
        <f t="shared" si="53"/>
        <v>87.438423645320199</v>
      </c>
      <c r="AT72" s="28">
        <f t="shared" si="9"/>
        <v>90.444604811794022</v>
      </c>
      <c r="AV72" s="30"/>
      <c r="AW72" s="30"/>
      <c r="AX72" s="30"/>
      <c r="AY72" s="29"/>
      <c r="AZ72" s="30"/>
      <c r="BA72" s="30"/>
      <c r="BC72" s="30"/>
      <c r="BD72" s="30"/>
      <c r="BE72" s="30"/>
      <c r="BF72" s="30"/>
      <c r="BG72" s="30"/>
      <c r="BH72" s="29"/>
      <c r="BI72" s="30"/>
      <c r="BJ72" s="30"/>
      <c r="BK72" s="30"/>
      <c r="BL72" s="29"/>
      <c r="BM72" s="30"/>
      <c r="BN72" s="29"/>
      <c r="BO72" s="30"/>
      <c r="BP72" s="30"/>
      <c r="BQ72" s="30"/>
      <c r="BR72" s="30"/>
      <c r="BS72" s="31"/>
      <c r="BT72" s="30"/>
      <c r="BU72" s="30"/>
    </row>
    <row r="73" spans="1:251" x14ac:dyDescent="0.2">
      <c r="A73" s="16">
        <v>74</v>
      </c>
      <c r="B73" s="11" t="s">
        <v>53</v>
      </c>
      <c r="C73" s="11" t="s">
        <v>172</v>
      </c>
      <c r="D73" s="32" t="s">
        <v>142</v>
      </c>
      <c r="E73" s="12" t="s">
        <v>145</v>
      </c>
      <c r="F73" s="11" t="s">
        <v>59</v>
      </c>
      <c r="G73" s="13">
        <v>42521</v>
      </c>
      <c r="H73" s="28"/>
      <c r="I73" s="13">
        <v>43041</v>
      </c>
      <c r="J73" s="14">
        <v>43152</v>
      </c>
      <c r="K73" s="15">
        <v>116</v>
      </c>
      <c r="L73" s="16">
        <f t="shared" si="0"/>
        <v>631</v>
      </c>
      <c r="M73" s="16">
        <v>944</v>
      </c>
      <c r="N73" s="16">
        <v>964</v>
      </c>
      <c r="O73" s="16">
        <v>1020</v>
      </c>
      <c r="P73" s="17">
        <f t="shared" si="1"/>
        <v>992</v>
      </c>
      <c r="Q73" s="15"/>
      <c r="R73" s="15"/>
      <c r="S73" s="15"/>
      <c r="T73" s="15"/>
      <c r="U73" s="18">
        <v>1225</v>
      </c>
      <c r="V73" s="15">
        <v>1260</v>
      </c>
      <c r="W73" s="15">
        <v>1240</v>
      </c>
      <c r="X73" s="17">
        <f t="shared" si="2"/>
        <v>1250</v>
      </c>
      <c r="Y73" s="20">
        <f t="shared" si="3"/>
        <v>1.9809825673534074</v>
      </c>
      <c r="Z73" s="17">
        <f t="shared" si="4"/>
        <v>258</v>
      </c>
      <c r="AA73" s="20">
        <f t="shared" si="5"/>
        <v>2.3035714285714284</v>
      </c>
      <c r="AB73" s="22">
        <v>54</v>
      </c>
      <c r="AC73" s="22">
        <f t="shared" si="6"/>
        <v>5.4475662700000003</v>
      </c>
      <c r="AD73" s="23">
        <v>13.1248</v>
      </c>
      <c r="AE73" s="24">
        <f t="shared" si="7"/>
        <v>1.0714122448979593</v>
      </c>
      <c r="AF73" s="23">
        <v>0.199961</v>
      </c>
      <c r="AG73" s="23">
        <v>3.6836899999999999</v>
      </c>
      <c r="AH73" s="23">
        <v>0.195997</v>
      </c>
      <c r="AI73" s="25">
        <v>38.5</v>
      </c>
      <c r="AJ73" s="16">
        <v>1</v>
      </c>
      <c r="AK73" s="16">
        <v>6</v>
      </c>
      <c r="AL73" s="25">
        <v>16</v>
      </c>
      <c r="AM73" s="25">
        <v>13</v>
      </c>
      <c r="AN73" s="27">
        <f t="shared" si="8"/>
        <v>208</v>
      </c>
      <c r="AO73" s="28">
        <f t="shared" si="49"/>
        <v>58.170995670995666</v>
      </c>
      <c r="AP73" s="28">
        <f t="shared" si="50"/>
        <v>98.294701366785247</v>
      </c>
      <c r="AQ73" s="28">
        <f t="shared" si="51"/>
        <v>84.297130525676906</v>
      </c>
      <c r="AR73" s="28">
        <f t="shared" si="52"/>
        <v>94.940463917525776</v>
      </c>
      <c r="AS73" s="28">
        <f t="shared" si="53"/>
        <v>94.827586206896555</v>
      </c>
      <c r="AT73" s="28">
        <f t="shared" si="9"/>
        <v>82.440516483985931</v>
      </c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</row>
    <row r="74" spans="1:251" s="35" customFormat="1" ht="15.75" x14ac:dyDescent="0.25">
      <c r="A74" s="54"/>
      <c r="D74" s="49" t="s">
        <v>185</v>
      </c>
      <c r="E74" s="50"/>
      <c r="G74" s="51"/>
      <c r="H74" s="40"/>
      <c r="I74" s="51"/>
      <c r="J74" s="52"/>
      <c r="K74" s="53"/>
      <c r="L74" s="54"/>
      <c r="M74" s="54"/>
      <c r="N74" s="54"/>
      <c r="O74" s="54"/>
      <c r="P74" s="59"/>
      <c r="Q74" s="53"/>
      <c r="R74" s="53"/>
      <c r="S74" s="53"/>
      <c r="T74" s="53"/>
      <c r="U74" s="67"/>
      <c r="V74" s="53"/>
      <c r="W74" s="53"/>
      <c r="X74" s="59"/>
      <c r="Y74" s="65">
        <f>AVERAGE(Y69:Y73)</f>
        <v>2.3518787818975815</v>
      </c>
      <c r="Z74" s="59"/>
      <c r="AA74" s="65">
        <f>AVERAGE(AA69:AA73)</f>
        <v>3.9624999999999995</v>
      </c>
      <c r="AB74" s="61"/>
      <c r="AC74" s="61"/>
      <c r="AD74" s="66"/>
      <c r="AE74" s="65">
        <f>AVERAGE(AE69:AE73)</f>
        <v>1.0890980891494277</v>
      </c>
      <c r="AF74" s="66"/>
      <c r="AG74" s="65">
        <f>AVERAGE(AG69:AG73)</f>
        <v>3.8829160000000003</v>
      </c>
      <c r="AH74" s="66"/>
      <c r="AI74" s="65">
        <f>AVERAGE(AI69:AI73)</f>
        <v>40.6</v>
      </c>
      <c r="AJ74" s="54"/>
      <c r="AK74" s="54"/>
      <c r="AL74" s="55"/>
      <c r="AM74" s="55"/>
      <c r="AN74" s="71"/>
      <c r="AO74" s="65">
        <f t="shared" ref="AO74:AT74" si="54">AVERAGE(AO69:AO73)</f>
        <v>100.06313131313132</v>
      </c>
      <c r="AP74" s="65">
        <f t="shared" si="54"/>
        <v>99.917255885268588</v>
      </c>
      <c r="AQ74" s="65">
        <f t="shared" si="54"/>
        <v>100.07994816585452</v>
      </c>
      <c r="AR74" s="65">
        <f t="shared" si="54"/>
        <v>100.07515463917527</v>
      </c>
      <c r="AS74" s="65">
        <f t="shared" si="54"/>
        <v>100.00000000000001</v>
      </c>
      <c r="AT74" s="65">
        <f t="shared" si="54"/>
        <v>100.03341113199909</v>
      </c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</row>
    <row r="75" spans="1:251" s="44" customFormat="1" x14ac:dyDescent="0.2">
      <c r="D75" s="64"/>
      <c r="E75" s="63"/>
      <c r="G75" s="28"/>
      <c r="H75" s="28"/>
      <c r="I75" s="28"/>
      <c r="J75" s="64"/>
      <c r="K75" s="24"/>
      <c r="AO75" s="28"/>
      <c r="AP75" s="28"/>
      <c r="AQ75" s="28"/>
      <c r="AR75" s="28"/>
      <c r="AS75" s="28"/>
      <c r="AT75" s="28"/>
    </row>
    <row r="76" spans="1:251" s="38" customFormat="1" ht="15.75" x14ac:dyDescent="0.25">
      <c r="D76" s="41" t="s">
        <v>186</v>
      </c>
      <c r="E76" s="39"/>
      <c r="G76" s="40"/>
      <c r="H76" s="40"/>
      <c r="I76" s="40"/>
      <c r="J76" s="41"/>
      <c r="K76" s="42"/>
      <c r="M76" s="38">
        <v>964.1</v>
      </c>
      <c r="N76" s="38">
        <v>968.82</v>
      </c>
      <c r="O76" s="38">
        <v>1017.36</v>
      </c>
      <c r="P76" s="65">
        <v>993.09</v>
      </c>
      <c r="Q76" s="42"/>
      <c r="R76" s="42"/>
      <c r="S76" s="42"/>
      <c r="T76" s="42"/>
      <c r="U76" s="66">
        <v>1413.64</v>
      </c>
      <c r="V76" s="42">
        <v>1443.64</v>
      </c>
      <c r="W76" s="42">
        <v>1426.36</v>
      </c>
      <c r="X76" s="65">
        <v>1435</v>
      </c>
      <c r="Y76" s="65">
        <v>2.34</v>
      </c>
      <c r="Z76" s="65">
        <v>441.91</v>
      </c>
      <c r="AA76" s="65">
        <v>3.95</v>
      </c>
      <c r="AB76" s="42">
        <v>55.68</v>
      </c>
      <c r="AC76" s="42">
        <v>6.38</v>
      </c>
      <c r="AD76" s="66">
        <v>15.17</v>
      </c>
      <c r="AE76" s="42">
        <v>1.08</v>
      </c>
      <c r="AF76" s="66">
        <v>0.22</v>
      </c>
      <c r="AG76" s="66">
        <v>3.72</v>
      </c>
      <c r="AH76" s="66">
        <v>0.32</v>
      </c>
      <c r="AI76" s="38">
        <v>41.41</v>
      </c>
      <c r="AJ76" s="38">
        <v>2</v>
      </c>
      <c r="AK76" s="38">
        <v>6.36</v>
      </c>
      <c r="AL76" s="38">
        <v>15.91</v>
      </c>
      <c r="AM76" s="38">
        <v>12.36</v>
      </c>
      <c r="AN76" s="40">
        <v>197.59</v>
      </c>
      <c r="AO76" s="40"/>
      <c r="AP76" s="40"/>
      <c r="AQ76" s="40"/>
      <c r="AR76" s="40"/>
      <c r="AS76" s="40"/>
      <c r="AT76" s="40"/>
    </row>
    <row r="77" spans="1:251" x14ac:dyDescent="0.2">
      <c r="A77" s="16"/>
      <c r="D77" s="32"/>
      <c r="H77" s="28"/>
      <c r="J77" s="14"/>
      <c r="M77" s="16"/>
      <c r="Q77" s="15"/>
      <c r="R77" s="15"/>
      <c r="S77" s="15"/>
      <c r="T77" s="15"/>
      <c r="U77" s="18"/>
      <c r="V77" s="15"/>
      <c r="W77" s="15"/>
      <c r="AB77" s="22"/>
      <c r="AD77" s="23"/>
      <c r="AF77" s="23"/>
      <c r="AG77" s="23"/>
      <c r="AH77" s="23"/>
      <c r="AJ77" s="16"/>
      <c r="AK77" s="16"/>
      <c r="AL77" s="25"/>
      <c r="AM77" s="25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</row>
    <row r="79" spans="1:251" x14ac:dyDescent="0.2">
      <c r="A79" s="11">
        <v>10</v>
      </c>
      <c r="B79" s="11" t="s">
        <v>52</v>
      </c>
      <c r="C79" s="11" t="s">
        <v>174</v>
      </c>
      <c r="D79" s="32" t="s">
        <v>49</v>
      </c>
      <c r="E79" s="12" t="s">
        <v>76</v>
      </c>
      <c r="F79" s="11" t="s">
        <v>50</v>
      </c>
      <c r="G79" s="13">
        <v>42689</v>
      </c>
      <c r="I79" s="13">
        <v>43041</v>
      </c>
      <c r="J79" s="14">
        <v>43152</v>
      </c>
      <c r="K79" s="15">
        <v>101</v>
      </c>
      <c r="L79" s="16">
        <f t="shared" si="0"/>
        <v>463</v>
      </c>
      <c r="M79" s="16">
        <v>772</v>
      </c>
      <c r="N79" s="16">
        <v>802</v>
      </c>
      <c r="O79" s="16">
        <v>808</v>
      </c>
      <c r="P79" s="17">
        <f t="shared" si="1"/>
        <v>805</v>
      </c>
      <c r="U79" s="18">
        <v>1250</v>
      </c>
      <c r="V79" s="17">
        <v>1230</v>
      </c>
      <c r="W79" s="19">
        <v>1260</v>
      </c>
      <c r="X79" s="17">
        <f t="shared" si="2"/>
        <v>1245</v>
      </c>
      <c r="Y79" s="20">
        <f t="shared" si="3"/>
        <v>2.6889848812095032</v>
      </c>
      <c r="Z79" s="17">
        <f t="shared" si="4"/>
        <v>440</v>
      </c>
      <c r="AA79" s="20">
        <f t="shared" si="5"/>
        <v>3.9285714285714284</v>
      </c>
      <c r="AB79" s="21">
        <v>52</v>
      </c>
      <c r="AC79" s="22">
        <f t="shared" si="6"/>
        <v>5.414802830000002</v>
      </c>
      <c r="AD79" s="23">
        <v>12.952400000000001</v>
      </c>
      <c r="AE79" s="24">
        <f t="shared" si="7"/>
        <v>1.036192</v>
      </c>
      <c r="AF79" s="23">
        <v>0.291848</v>
      </c>
      <c r="AG79" s="23">
        <v>3.4580899999999999</v>
      </c>
      <c r="AH79" s="23">
        <v>0.46005499999999999</v>
      </c>
      <c r="AI79" s="25">
        <v>43.5</v>
      </c>
      <c r="AJ79" s="26">
        <v>2</v>
      </c>
      <c r="AK79" s="26">
        <v>7</v>
      </c>
      <c r="AL79" s="27">
        <v>14</v>
      </c>
      <c r="AM79" s="27">
        <v>11</v>
      </c>
      <c r="AN79" s="27">
        <f t="shared" si="8"/>
        <v>154</v>
      </c>
      <c r="AO79" s="28">
        <f>(AA79/3.99)*100</f>
        <v>98.460436806301459</v>
      </c>
      <c r="AP79" s="28">
        <f>(AE79/1.07)*100</f>
        <v>96.840373831775693</v>
      </c>
      <c r="AQ79" s="28">
        <f>(Y79/2.67)*100</f>
        <v>100.7110442400563</v>
      </c>
      <c r="AR79" s="28">
        <f>(AG79/3.07)*100</f>
        <v>112.6413680781759</v>
      </c>
      <c r="AS79" s="28">
        <f>(AI79/42)*100</f>
        <v>103.57142857142858</v>
      </c>
      <c r="AT79" s="28">
        <f t="shared" si="9"/>
        <v>101.93383112903489</v>
      </c>
      <c r="AU79" s="11" t="s">
        <v>206</v>
      </c>
      <c r="AV79" s="30"/>
      <c r="AW79" s="30"/>
      <c r="AX79" s="30"/>
      <c r="AY79" s="29"/>
      <c r="AZ79" s="30"/>
      <c r="BA79" s="30"/>
      <c r="BB79" s="29"/>
      <c r="BC79" s="30"/>
      <c r="BD79" s="30"/>
      <c r="BE79" s="30"/>
      <c r="BF79" s="30"/>
      <c r="BG79" s="30"/>
      <c r="BH79" s="29"/>
      <c r="BI79" s="30"/>
      <c r="BJ79" s="30"/>
      <c r="BK79" s="30"/>
      <c r="BL79" s="29"/>
      <c r="BM79" s="30"/>
      <c r="BN79" s="29"/>
      <c r="BO79" s="30"/>
      <c r="BP79" s="30"/>
      <c r="BQ79" s="30"/>
      <c r="BR79" s="30"/>
      <c r="BS79" s="31"/>
      <c r="BT79" s="30"/>
      <c r="BU79" s="30"/>
    </row>
    <row r="80" spans="1:251" x14ac:dyDescent="0.2">
      <c r="A80" s="11">
        <v>15</v>
      </c>
      <c r="B80" s="11" t="s">
        <v>52</v>
      </c>
      <c r="C80" s="11" t="s">
        <v>174</v>
      </c>
      <c r="D80" s="32" t="s">
        <v>49</v>
      </c>
      <c r="E80" s="12" t="s">
        <v>81</v>
      </c>
      <c r="F80" s="11" t="s">
        <v>50</v>
      </c>
      <c r="G80" s="13">
        <v>42667</v>
      </c>
      <c r="I80" s="13">
        <v>43041</v>
      </c>
      <c r="J80" s="14">
        <v>43152</v>
      </c>
      <c r="K80" s="15">
        <v>101</v>
      </c>
      <c r="L80" s="16">
        <f t="shared" si="0"/>
        <v>485</v>
      </c>
      <c r="M80" s="16">
        <v>798</v>
      </c>
      <c r="N80" s="16">
        <v>822</v>
      </c>
      <c r="O80" s="16">
        <v>802</v>
      </c>
      <c r="P80" s="17">
        <f t="shared" si="1"/>
        <v>812</v>
      </c>
      <c r="U80" s="18">
        <v>1290</v>
      </c>
      <c r="V80" s="17">
        <v>1285</v>
      </c>
      <c r="W80" s="17">
        <v>1290</v>
      </c>
      <c r="X80" s="17">
        <f t="shared" si="2"/>
        <v>1287.5</v>
      </c>
      <c r="Y80" s="20">
        <f t="shared" si="3"/>
        <v>2.6546391752577319</v>
      </c>
      <c r="Z80" s="17">
        <f t="shared" si="4"/>
        <v>475.5</v>
      </c>
      <c r="AA80" s="20">
        <f t="shared" si="5"/>
        <v>4.2455357142857144</v>
      </c>
      <c r="AB80" s="21">
        <v>52.5</v>
      </c>
      <c r="AC80" s="22">
        <f t="shared" si="6"/>
        <v>5.4752782500000015</v>
      </c>
      <c r="AD80" s="23">
        <v>14.181100000000001</v>
      </c>
      <c r="AE80" s="24">
        <f t="shared" si="7"/>
        <v>1.0993100775193798</v>
      </c>
      <c r="AF80" s="23">
        <v>0.32272099999999998</v>
      </c>
      <c r="AG80" s="23">
        <v>2.8771599999999999</v>
      </c>
      <c r="AH80" s="23">
        <v>0.51364799999999999</v>
      </c>
      <c r="AI80" s="25">
        <v>40</v>
      </c>
      <c r="AJ80" s="26">
        <v>3</v>
      </c>
      <c r="AK80" s="26">
        <v>7</v>
      </c>
      <c r="AL80" s="27">
        <v>14.5</v>
      </c>
      <c r="AM80" s="27">
        <v>11</v>
      </c>
      <c r="AN80" s="27">
        <f t="shared" si="8"/>
        <v>159.5</v>
      </c>
      <c r="AO80" s="28">
        <f t="shared" ref="AO80:AO81" si="55">(AA80/3.99)*100</f>
        <v>106.40440386680987</v>
      </c>
      <c r="AP80" s="28">
        <f t="shared" ref="AP80:AP81" si="56">(AE80/1.07)*100</f>
        <v>102.73925958125045</v>
      </c>
      <c r="AQ80" s="28">
        <f t="shared" ref="AQ80:AQ81" si="57">(Y80/2.67)*100</f>
        <v>99.424688211900076</v>
      </c>
      <c r="AR80" s="28">
        <f t="shared" ref="AR80:AR81" si="58">(AG80/3.07)*100</f>
        <v>93.718566775244312</v>
      </c>
      <c r="AS80" s="28">
        <f t="shared" ref="AS80:AS81" si="59">(AI80/42)*100</f>
        <v>95.238095238095227</v>
      </c>
      <c r="AT80" s="28">
        <f t="shared" si="9"/>
        <v>100.62163359753146</v>
      </c>
      <c r="AV80" s="30"/>
      <c r="AW80" s="30"/>
      <c r="AX80" s="30"/>
      <c r="AY80" s="29"/>
      <c r="AZ80" s="30"/>
      <c r="BA80" s="30"/>
      <c r="BB80" s="29"/>
      <c r="BC80" s="30"/>
      <c r="BD80" s="30"/>
      <c r="BE80" s="30"/>
      <c r="BF80" s="30"/>
      <c r="BG80" s="30"/>
      <c r="BH80" s="29"/>
      <c r="BI80" s="30"/>
      <c r="BJ80" s="30"/>
      <c r="BK80" s="30"/>
      <c r="BL80" s="29"/>
      <c r="BM80" s="30"/>
      <c r="BN80" s="29"/>
      <c r="BO80" s="30"/>
      <c r="BP80" s="30"/>
      <c r="BQ80" s="30"/>
      <c r="BR80" s="30"/>
      <c r="BS80" s="31"/>
      <c r="BT80" s="30"/>
      <c r="BU80" s="30"/>
    </row>
    <row r="81" spans="1:251" x14ac:dyDescent="0.2">
      <c r="A81" s="11">
        <v>92</v>
      </c>
      <c r="B81" s="11" t="s">
        <v>52</v>
      </c>
      <c r="C81" s="11" t="s">
        <v>174</v>
      </c>
      <c r="D81" s="45" t="s">
        <v>164</v>
      </c>
      <c r="E81" s="12" t="s">
        <v>166</v>
      </c>
      <c r="F81" s="11" t="s">
        <v>50</v>
      </c>
      <c r="G81" s="13">
        <v>42700</v>
      </c>
      <c r="I81" s="13">
        <v>43041</v>
      </c>
      <c r="J81" s="14">
        <v>43152</v>
      </c>
      <c r="K81" s="15">
        <v>121</v>
      </c>
      <c r="L81" s="16">
        <f t="shared" si="0"/>
        <v>452</v>
      </c>
      <c r="M81" s="16">
        <v>750</v>
      </c>
      <c r="N81" s="16">
        <v>782</v>
      </c>
      <c r="O81" s="16">
        <v>776</v>
      </c>
      <c r="P81" s="17">
        <f t="shared" si="1"/>
        <v>779</v>
      </c>
      <c r="U81" s="18">
        <v>1190</v>
      </c>
      <c r="V81" s="17">
        <v>1200</v>
      </c>
      <c r="W81" s="15">
        <v>1210</v>
      </c>
      <c r="X81" s="17">
        <f t="shared" si="2"/>
        <v>1205</v>
      </c>
      <c r="Y81" s="20">
        <f t="shared" si="3"/>
        <v>2.665929203539823</v>
      </c>
      <c r="Z81" s="17">
        <f t="shared" si="4"/>
        <v>426</v>
      </c>
      <c r="AA81" s="20">
        <f t="shared" si="5"/>
        <v>3.8035714285714284</v>
      </c>
      <c r="AB81" s="21">
        <v>52</v>
      </c>
      <c r="AC81" s="22">
        <f t="shared" si="6"/>
        <v>5.5176324800000014</v>
      </c>
      <c r="AD81" s="23">
        <v>12.658799999999999</v>
      </c>
      <c r="AE81" s="24">
        <f t="shared" si="7"/>
        <v>1.0637647058823529</v>
      </c>
      <c r="AF81" s="23">
        <v>0.446046</v>
      </c>
      <c r="AG81" s="23">
        <v>2.8712399999999998</v>
      </c>
      <c r="AH81" s="23">
        <v>0.44472400000000001</v>
      </c>
      <c r="AI81" s="25">
        <v>42.5</v>
      </c>
      <c r="AJ81" s="26">
        <v>2</v>
      </c>
      <c r="AK81" s="26">
        <v>6</v>
      </c>
      <c r="AL81" s="27">
        <v>15</v>
      </c>
      <c r="AM81" s="27">
        <v>12</v>
      </c>
      <c r="AN81" s="27">
        <f t="shared" si="8"/>
        <v>180</v>
      </c>
      <c r="AO81" s="28">
        <f t="shared" si="55"/>
        <v>95.327604726100958</v>
      </c>
      <c r="AP81" s="28">
        <f t="shared" si="56"/>
        <v>99.417262231995593</v>
      </c>
      <c r="AQ81" s="28">
        <f t="shared" si="57"/>
        <v>99.84753571310199</v>
      </c>
      <c r="AR81" s="28">
        <f t="shared" si="58"/>
        <v>93.525732899022799</v>
      </c>
      <c r="AS81" s="28">
        <f t="shared" si="59"/>
        <v>101.19047619047619</v>
      </c>
      <c r="AT81" s="28">
        <f t="shared" si="9"/>
        <v>97.275435205701996</v>
      </c>
      <c r="AV81" s="30"/>
      <c r="AW81" s="30"/>
      <c r="AX81" s="30"/>
      <c r="AY81" s="29"/>
      <c r="AZ81" s="30"/>
      <c r="BA81" s="30"/>
      <c r="BB81" s="29"/>
      <c r="BC81" s="30"/>
      <c r="BD81" s="30"/>
      <c r="BE81" s="30"/>
      <c r="BF81" s="30"/>
      <c r="BG81" s="30"/>
      <c r="BH81" s="29"/>
      <c r="BI81" s="30"/>
      <c r="BJ81" s="30"/>
      <c r="BK81" s="30"/>
      <c r="BL81" s="29"/>
      <c r="BM81" s="30"/>
      <c r="BN81" s="29"/>
      <c r="BO81" s="30"/>
      <c r="BP81" s="30"/>
      <c r="BQ81" s="30"/>
      <c r="BR81" s="30"/>
      <c r="BS81" s="31"/>
      <c r="BT81" s="30"/>
      <c r="BU81" s="30"/>
    </row>
    <row r="82" spans="1:251" s="35" customFormat="1" ht="15.75" x14ac:dyDescent="0.25">
      <c r="D82" s="75" t="s">
        <v>182</v>
      </c>
      <c r="E82" s="50"/>
      <c r="G82" s="51"/>
      <c r="H82" s="51"/>
      <c r="I82" s="51"/>
      <c r="J82" s="52"/>
      <c r="K82" s="53"/>
      <c r="L82" s="54"/>
      <c r="M82" s="54"/>
      <c r="N82" s="54"/>
      <c r="O82" s="54"/>
      <c r="P82" s="59"/>
      <c r="Q82" s="59"/>
      <c r="R82" s="59"/>
      <c r="S82" s="59"/>
      <c r="T82" s="59"/>
      <c r="U82" s="67"/>
      <c r="V82" s="59"/>
      <c r="W82" s="53"/>
      <c r="X82" s="59"/>
      <c r="Y82" s="65">
        <f>AVERAGE(Y79:Y81)</f>
        <v>2.6698510866690195</v>
      </c>
      <c r="Z82" s="59"/>
      <c r="AA82" s="65">
        <f>AVERAGE(AA79:AA81)</f>
        <v>3.9925595238095237</v>
      </c>
      <c r="AB82" s="69"/>
      <c r="AC82" s="61"/>
      <c r="AD82" s="66"/>
      <c r="AE82" s="65">
        <f>AVERAGE(AE79:AE81)</f>
        <v>1.0664222611339109</v>
      </c>
      <c r="AF82" s="66"/>
      <c r="AG82" s="65">
        <f>AVERAGE(AG79:AG81)</f>
        <v>3.0688300000000002</v>
      </c>
      <c r="AH82" s="66"/>
      <c r="AI82" s="65">
        <f>AVERAGE(AI79:AI81)</f>
        <v>42</v>
      </c>
      <c r="AJ82" s="70"/>
      <c r="AK82" s="70"/>
      <c r="AL82" s="71"/>
      <c r="AM82" s="71"/>
      <c r="AN82" s="71"/>
      <c r="AO82" s="65">
        <f t="shared" ref="AO82:AT82" si="60">AVERAGE(AO79:AO81)</f>
        <v>100.06414846640409</v>
      </c>
      <c r="AP82" s="65">
        <f t="shared" si="60"/>
        <v>99.665631881673917</v>
      </c>
      <c r="AQ82" s="65">
        <f t="shared" si="60"/>
        <v>99.994422721686121</v>
      </c>
      <c r="AR82" s="65">
        <f t="shared" si="60"/>
        <v>99.961889250814338</v>
      </c>
      <c r="AS82" s="65">
        <f t="shared" si="60"/>
        <v>100</v>
      </c>
      <c r="AT82" s="65">
        <f t="shared" si="60"/>
        <v>99.943633310756127</v>
      </c>
      <c r="AV82" s="73"/>
      <c r="AW82" s="73"/>
      <c r="AX82" s="73"/>
      <c r="AY82" s="72"/>
      <c r="AZ82" s="73"/>
      <c r="BA82" s="73"/>
      <c r="BB82" s="72"/>
      <c r="BC82" s="73"/>
      <c r="BD82" s="73"/>
      <c r="BE82" s="73"/>
      <c r="BF82" s="73"/>
      <c r="BG82" s="73"/>
      <c r="BH82" s="72"/>
      <c r="BI82" s="73"/>
      <c r="BJ82" s="73"/>
      <c r="BK82" s="73"/>
      <c r="BL82" s="72"/>
      <c r="BM82" s="73"/>
      <c r="BN82" s="72"/>
      <c r="BO82" s="73"/>
      <c r="BP82" s="73"/>
      <c r="BQ82" s="73"/>
      <c r="BR82" s="73"/>
      <c r="BS82" s="74"/>
      <c r="BT82" s="73"/>
      <c r="BU82" s="73"/>
    </row>
    <row r="83" spans="1:251" x14ac:dyDescent="0.2">
      <c r="D83" s="45"/>
      <c r="J83" s="14"/>
      <c r="M83" s="16"/>
      <c r="U83" s="18"/>
      <c r="W83" s="15"/>
      <c r="AD83" s="23"/>
      <c r="AF83" s="23"/>
      <c r="AG83" s="23"/>
      <c r="AH83" s="23"/>
      <c r="AV83" s="30"/>
      <c r="AW83" s="30"/>
      <c r="AX83" s="30"/>
      <c r="AY83" s="29"/>
      <c r="AZ83" s="30"/>
      <c r="BA83" s="30"/>
      <c r="BB83" s="29"/>
      <c r="BC83" s="30"/>
      <c r="BD83" s="30"/>
      <c r="BE83" s="30"/>
      <c r="BF83" s="30"/>
      <c r="BG83" s="30"/>
      <c r="BH83" s="29"/>
      <c r="BI83" s="30"/>
      <c r="BJ83" s="30"/>
      <c r="BK83" s="30"/>
      <c r="BL83" s="29"/>
      <c r="BM83" s="30"/>
      <c r="BN83" s="29"/>
      <c r="BO83" s="30"/>
      <c r="BP83" s="30"/>
      <c r="BQ83" s="30"/>
      <c r="BR83" s="30"/>
      <c r="BS83" s="31"/>
      <c r="BT83" s="30"/>
      <c r="BU83" s="30"/>
    </row>
    <row r="84" spans="1:251" x14ac:dyDescent="0.2">
      <c r="A84" s="11">
        <v>54</v>
      </c>
      <c r="B84" s="11" t="s">
        <v>52</v>
      </c>
      <c r="C84" s="11" t="s">
        <v>174</v>
      </c>
      <c r="D84" s="11" t="s">
        <v>117</v>
      </c>
      <c r="E84" s="12" t="s">
        <v>121</v>
      </c>
      <c r="F84" s="11" t="s">
        <v>54</v>
      </c>
      <c r="G84" s="13">
        <v>42687</v>
      </c>
      <c r="I84" s="13">
        <v>43041</v>
      </c>
      <c r="J84" s="14">
        <v>43152</v>
      </c>
      <c r="K84" s="15">
        <v>111</v>
      </c>
      <c r="L84" s="16">
        <f t="shared" si="0"/>
        <v>465</v>
      </c>
      <c r="M84" s="16">
        <v>758</v>
      </c>
      <c r="N84" s="16">
        <v>810</v>
      </c>
      <c r="O84" s="16">
        <v>846</v>
      </c>
      <c r="P84" s="17">
        <f t="shared" si="1"/>
        <v>828</v>
      </c>
      <c r="U84" s="18">
        <v>1240</v>
      </c>
      <c r="V84" s="17">
        <v>1245</v>
      </c>
      <c r="W84" s="19">
        <v>1240</v>
      </c>
      <c r="X84" s="17">
        <f t="shared" si="2"/>
        <v>1242.5</v>
      </c>
      <c r="Y84" s="20">
        <f t="shared" si="3"/>
        <v>2.672043010752688</v>
      </c>
      <c r="Z84" s="17">
        <f t="shared" si="4"/>
        <v>414.5</v>
      </c>
      <c r="AA84" s="20">
        <f t="shared" si="5"/>
        <v>3.7008928571428572</v>
      </c>
      <c r="AB84" s="21">
        <v>56.5</v>
      </c>
      <c r="AC84" s="22">
        <f t="shared" si="6"/>
        <v>7.6616022500000032</v>
      </c>
      <c r="AD84" s="23">
        <v>14.127000000000001</v>
      </c>
      <c r="AE84" s="24">
        <f t="shared" si="7"/>
        <v>1.1392741935483872</v>
      </c>
      <c r="AF84" s="23">
        <v>0.219</v>
      </c>
      <c r="AG84" s="23">
        <v>3.1177000000000001</v>
      </c>
      <c r="AH84" s="23">
        <v>0.30858000000000002</v>
      </c>
      <c r="AI84" s="25">
        <v>34</v>
      </c>
      <c r="AJ84" s="26">
        <v>3</v>
      </c>
      <c r="AK84" s="26">
        <v>6</v>
      </c>
      <c r="AL84" s="27">
        <v>17</v>
      </c>
      <c r="AM84" s="27">
        <v>13.5</v>
      </c>
      <c r="AN84" s="27">
        <f t="shared" si="8"/>
        <v>229.5</v>
      </c>
      <c r="AO84" s="28">
        <f>(AA84/2.82)*100</f>
        <v>131.2373353596758</v>
      </c>
      <c r="AP84" s="28">
        <f>(AE84/1.16)*100</f>
        <v>98.213292547274762</v>
      </c>
      <c r="AQ84" s="28">
        <f>(Y84/2.39)*100</f>
        <v>111.80096279299948</v>
      </c>
      <c r="AR84" s="28">
        <f>(AG84/3.5)*100</f>
        <v>89.07714285714286</v>
      </c>
      <c r="AS84" s="28">
        <f>(AI84/37.2)*100</f>
        <v>91.397849462365585</v>
      </c>
      <c r="AT84" s="28">
        <f t="shared" si="9"/>
        <v>108.32926519362272</v>
      </c>
      <c r="AU84" s="11" t="s">
        <v>207</v>
      </c>
      <c r="AV84" s="30"/>
      <c r="AW84" s="30"/>
      <c r="AX84" s="30"/>
      <c r="AY84" s="29"/>
      <c r="AZ84" s="30"/>
      <c r="BA84" s="30"/>
      <c r="BB84" s="29"/>
      <c r="BC84" s="30"/>
      <c r="BD84" s="30"/>
      <c r="BE84" s="30"/>
      <c r="BF84" s="30"/>
      <c r="BG84" s="30"/>
      <c r="BH84" s="29"/>
      <c r="BI84" s="30"/>
      <c r="BJ84" s="30"/>
      <c r="BK84" s="30"/>
      <c r="BL84" s="29"/>
      <c r="BM84" s="30"/>
      <c r="BN84" s="29"/>
      <c r="BO84" s="30"/>
      <c r="BP84" s="30"/>
      <c r="BQ84" s="30"/>
      <c r="BR84" s="30"/>
      <c r="BS84" s="31"/>
      <c r="BT84" s="30"/>
      <c r="BU84" s="30"/>
    </row>
    <row r="85" spans="1:251" x14ac:dyDescent="0.2">
      <c r="A85" s="16">
        <v>38</v>
      </c>
      <c r="B85" s="11" t="s">
        <v>52</v>
      </c>
      <c r="C85" s="11" t="s">
        <v>174</v>
      </c>
      <c r="D85" s="32" t="s">
        <v>103</v>
      </c>
      <c r="E85" s="12" t="s">
        <v>100</v>
      </c>
      <c r="F85" s="11" t="s">
        <v>54</v>
      </c>
      <c r="G85" s="13">
        <v>42667</v>
      </c>
      <c r="I85" s="13">
        <v>43041</v>
      </c>
      <c r="J85" s="14">
        <v>43152</v>
      </c>
      <c r="K85" s="37">
        <v>106</v>
      </c>
      <c r="L85" s="16">
        <f t="shared" si="0"/>
        <v>485</v>
      </c>
      <c r="M85" s="16">
        <v>740</v>
      </c>
      <c r="N85" s="16">
        <v>836</v>
      </c>
      <c r="O85" s="16">
        <v>852</v>
      </c>
      <c r="P85" s="17">
        <f t="shared" si="1"/>
        <v>844</v>
      </c>
      <c r="U85" s="18">
        <v>1160</v>
      </c>
      <c r="V85" s="17">
        <v>1160</v>
      </c>
      <c r="W85" s="17">
        <v>1160</v>
      </c>
      <c r="X85" s="17">
        <f t="shared" si="2"/>
        <v>1160</v>
      </c>
      <c r="Y85" s="20">
        <f t="shared" si="3"/>
        <v>2.3917525773195876</v>
      </c>
      <c r="Z85" s="17">
        <f t="shared" si="4"/>
        <v>316</v>
      </c>
      <c r="AA85" s="20">
        <f t="shared" si="5"/>
        <v>2.8214285714285716</v>
      </c>
      <c r="AB85" s="21">
        <v>55</v>
      </c>
      <c r="AC85" s="22">
        <f t="shared" si="6"/>
        <v>6.7352757500000022</v>
      </c>
      <c r="AD85" s="23">
        <v>13.2781</v>
      </c>
      <c r="AE85" s="24">
        <f t="shared" si="7"/>
        <v>1.1446637931034482</v>
      </c>
      <c r="AF85" s="23">
        <v>0.33060600000000001</v>
      </c>
      <c r="AG85" s="23">
        <v>3.66181</v>
      </c>
      <c r="AH85" s="23">
        <v>0.38995800000000003</v>
      </c>
      <c r="AI85" s="25">
        <v>37.5</v>
      </c>
      <c r="AJ85" s="26">
        <v>3</v>
      </c>
      <c r="AK85" s="26">
        <v>6</v>
      </c>
      <c r="AL85" s="27">
        <v>16</v>
      </c>
      <c r="AM85" s="27">
        <v>12</v>
      </c>
      <c r="AN85" s="27">
        <f t="shared" si="8"/>
        <v>192</v>
      </c>
      <c r="AO85" s="28">
        <f t="shared" ref="AO85:AO89" si="61">(AA85/2.82)*100</f>
        <v>100.05065856129687</v>
      </c>
      <c r="AP85" s="28">
        <f t="shared" ref="AP85:AP89" si="62">(AE85/1.16)*100</f>
        <v>98.677913198573137</v>
      </c>
      <c r="AQ85" s="28">
        <f t="shared" ref="AQ85:AQ89" si="63">(Y85/2.39)*100</f>
        <v>100.07332959496182</v>
      </c>
      <c r="AR85" s="28">
        <f t="shared" ref="AR85:AR89" si="64">(AG85/3.5)*100</f>
        <v>104.62314285714285</v>
      </c>
      <c r="AS85" s="28">
        <f t="shared" ref="AS85:AS89" si="65">(AI85/37.2)*100</f>
        <v>100.80645161290323</v>
      </c>
      <c r="AT85" s="28">
        <f t="shared" si="9"/>
        <v>100.77071985981495</v>
      </c>
      <c r="AU85" s="11" t="s">
        <v>208</v>
      </c>
    </row>
    <row r="86" spans="1:251" ht="15.75" x14ac:dyDescent="0.25">
      <c r="A86" s="11">
        <v>33</v>
      </c>
      <c r="B86" s="11" t="s">
        <v>52</v>
      </c>
      <c r="C86" s="11" t="s">
        <v>174</v>
      </c>
      <c r="D86" s="32" t="s">
        <v>103</v>
      </c>
      <c r="E86" s="12" t="s">
        <v>96</v>
      </c>
      <c r="F86" s="11" t="s">
        <v>54</v>
      </c>
      <c r="G86" s="13">
        <v>42678</v>
      </c>
      <c r="I86" s="13">
        <v>43041</v>
      </c>
      <c r="J86" s="14">
        <v>43152</v>
      </c>
      <c r="K86" s="37">
        <v>106</v>
      </c>
      <c r="L86" s="16">
        <f t="shared" si="0"/>
        <v>474</v>
      </c>
      <c r="M86" s="16">
        <v>660</v>
      </c>
      <c r="N86" s="16">
        <v>716</v>
      </c>
      <c r="O86" s="16">
        <v>752</v>
      </c>
      <c r="P86" s="17">
        <f t="shared" si="1"/>
        <v>734</v>
      </c>
      <c r="U86" s="18">
        <v>1055</v>
      </c>
      <c r="V86" s="17">
        <v>1050</v>
      </c>
      <c r="W86" s="17">
        <v>1035</v>
      </c>
      <c r="X86" s="17">
        <f t="shared" si="2"/>
        <v>1042.5</v>
      </c>
      <c r="Y86" s="20">
        <f t="shared" si="3"/>
        <v>2.1993670886075951</v>
      </c>
      <c r="Z86" s="17">
        <f t="shared" si="4"/>
        <v>308.5</v>
      </c>
      <c r="AA86" s="20">
        <f t="shared" si="5"/>
        <v>2.7544642857142856</v>
      </c>
      <c r="AB86" s="21">
        <v>51</v>
      </c>
      <c r="AC86" s="22">
        <f t="shared" si="6"/>
        <v>4.8130533200000016</v>
      </c>
      <c r="AD86" s="23">
        <v>12.569900000000001</v>
      </c>
      <c r="AE86" s="24">
        <f t="shared" si="7"/>
        <v>1.1914597156398106</v>
      </c>
      <c r="AF86" s="23">
        <v>0.34566799999999998</v>
      </c>
      <c r="AG86" s="23">
        <v>3.7553999999999998</v>
      </c>
      <c r="AH86" s="23">
        <v>0.38927699999999998</v>
      </c>
      <c r="AI86" s="25">
        <v>36.5</v>
      </c>
      <c r="AJ86" s="26">
        <v>3</v>
      </c>
      <c r="AK86" s="26">
        <v>7</v>
      </c>
      <c r="AL86" s="27">
        <v>15</v>
      </c>
      <c r="AM86" s="27">
        <v>12</v>
      </c>
      <c r="AN86" s="27">
        <f t="shared" si="8"/>
        <v>180</v>
      </c>
      <c r="AO86" s="28">
        <f t="shared" si="61"/>
        <v>97.676038500506593</v>
      </c>
      <c r="AP86" s="28">
        <f t="shared" si="62"/>
        <v>102.71204445170781</v>
      </c>
      <c r="AQ86" s="28">
        <f t="shared" si="63"/>
        <v>92.023727556803138</v>
      </c>
      <c r="AR86" s="28">
        <f t="shared" si="64"/>
        <v>107.29714285714284</v>
      </c>
      <c r="AS86" s="28">
        <f t="shared" si="65"/>
        <v>98.118279569892465</v>
      </c>
      <c r="AT86" s="28">
        <f t="shared" si="9"/>
        <v>99.521222480271987</v>
      </c>
      <c r="AU86" s="35"/>
    </row>
    <row r="87" spans="1:251" ht="15.75" x14ac:dyDescent="0.25">
      <c r="A87" s="11">
        <v>58</v>
      </c>
      <c r="B87" s="11" t="s">
        <v>52</v>
      </c>
      <c r="C87" s="11" t="s">
        <v>174</v>
      </c>
      <c r="D87" s="11" t="s">
        <v>117</v>
      </c>
      <c r="E87" s="12" t="s">
        <v>125</v>
      </c>
      <c r="F87" s="11" t="s">
        <v>54</v>
      </c>
      <c r="G87" s="13">
        <v>42618</v>
      </c>
      <c r="I87" s="13">
        <v>43041</v>
      </c>
      <c r="J87" s="14">
        <v>43152</v>
      </c>
      <c r="K87" s="15">
        <v>111</v>
      </c>
      <c r="L87" s="16">
        <f t="shared" si="0"/>
        <v>534</v>
      </c>
      <c r="M87" s="16">
        <v>902</v>
      </c>
      <c r="N87" s="16">
        <v>982</v>
      </c>
      <c r="O87" s="16">
        <v>972</v>
      </c>
      <c r="P87" s="17">
        <f t="shared" si="1"/>
        <v>977</v>
      </c>
      <c r="U87" s="18">
        <v>1285</v>
      </c>
      <c r="V87" s="17">
        <v>1255</v>
      </c>
      <c r="W87" s="19">
        <v>1265</v>
      </c>
      <c r="X87" s="17">
        <f t="shared" si="2"/>
        <v>1260</v>
      </c>
      <c r="Y87" s="20">
        <f t="shared" si="3"/>
        <v>2.3595505617977528</v>
      </c>
      <c r="Z87" s="17">
        <f t="shared" si="4"/>
        <v>283</v>
      </c>
      <c r="AA87" s="20">
        <f t="shared" si="5"/>
        <v>2.5267857142857144</v>
      </c>
      <c r="AB87" s="21">
        <v>54</v>
      </c>
      <c r="AC87" s="22">
        <f t="shared" si="6"/>
        <v>5.8757097200000015</v>
      </c>
      <c r="AD87" s="23">
        <v>14.416499999999999</v>
      </c>
      <c r="AE87" s="24">
        <f t="shared" si="7"/>
        <v>1.1219066147859922</v>
      </c>
      <c r="AF87" s="23">
        <v>0.25404100000000002</v>
      </c>
      <c r="AG87" s="23">
        <v>3.6564299999999998</v>
      </c>
      <c r="AH87" s="23">
        <v>0.46005499999999999</v>
      </c>
      <c r="AI87" s="25">
        <v>39</v>
      </c>
      <c r="AJ87" s="26">
        <v>4</v>
      </c>
      <c r="AK87" s="26">
        <v>7</v>
      </c>
      <c r="AL87" s="27">
        <v>16</v>
      </c>
      <c r="AM87" s="27">
        <v>12</v>
      </c>
      <c r="AN87" s="27">
        <f t="shared" si="8"/>
        <v>192</v>
      </c>
      <c r="AO87" s="28">
        <f t="shared" si="61"/>
        <v>89.602330293819662</v>
      </c>
      <c r="AP87" s="28">
        <f t="shared" si="62"/>
        <v>96.716087481551057</v>
      </c>
      <c r="AQ87" s="28">
        <f t="shared" si="63"/>
        <v>98.725964928776264</v>
      </c>
      <c r="AR87" s="28">
        <f t="shared" si="64"/>
        <v>104.46942857142855</v>
      </c>
      <c r="AS87" s="28">
        <f t="shared" si="65"/>
        <v>104.83870967741935</v>
      </c>
      <c r="AT87" s="28">
        <f t="shared" si="9"/>
        <v>97.346866252239025</v>
      </c>
      <c r="AU87" s="35"/>
      <c r="AV87" s="30"/>
      <c r="AW87" s="30"/>
      <c r="AX87" s="30"/>
      <c r="AY87" s="29"/>
      <c r="AZ87" s="30"/>
      <c r="BA87" s="30"/>
      <c r="BC87" s="30"/>
      <c r="BD87" s="30"/>
      <c r="BE87" s="30"/>
      <c r="BF87" s="30"/>
      <c r="BG87" s="30"/>
      <c r="BH87" s="29"/>
      <c r="BI87" s="30"/>
      <c r="BJ87" s="30"/>
      <c r="BK87" s="30"/>
      <c r="BL87" s="29"/>
      <c r="BM87" s="30"/>
      <c r="BN87" s="29"/>
      <c r="BO87" s="30"/>
      <c r="BP87" s="30"/>
      <c r="BQ87" s="30"/>
      <c r="BR87" s="30"/>
      <c r="BS87" s="31"/>
      <c r="BT87" s="30"/>
      <c r="BU87" s="30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  <c r="FW87" s="32"/>
      <c r="FX87" s="32"/>
      <c r="FY87" s="32"/>
      <c r="FZ87" s="32"/>
      <c r="GA87" s="32"/>
      <c r="GB87" s="32"/>
      <c r="GC87" s="32"/>
      <c r="GD87" s="32"/>
      <c r="GE87" s="32"/>
      <c r="GF87" s="32"/>
      <c r="GG87" s="32"/>
      <c r="GH87" s="32"/>
      <c r="GI87" s="32"/>
      <c r="GJ87" s="32"/>
      <c r="GK87" s="32"/>
      <c r="GL87" s="32"/>
      <c r="GM87" s="32"/>
      <c r="GN87" s="32"/>
      <c r="GO87" s="32"/>
      <c r="GP87" s="32"/>
      <c r="GQ87" s="32"/>
      <c r="GR87" s="32"/>
      <c r="GS87" s="32"/>
      <c r="GT87" s="32"/>
      <c r="GU87" s="32"/>
      <c r="GV87" s="32"/>
      <c r="GW87" s="32"/>
      <c r="GX87" s="32"/>
      <c r="GY87" s="32"/>
      <c r="GZ87" s="32"/>
      <c r="HA87" s="32"/>
      <c r="HB87" s="32"/>
      <c r="HC87" s="32"/>
      <c r="HD87" s="32"/>
      <c r="HE87" s="32"/>
      <c r="HF87" s="32"/>
      <c r="HG87" s="32"/>
      <c r="HH87" s="32"/>
      <c r="HI87" s="32"/>
      <c r="HJ87" s="32"/>
      <c r="HK87" s="32"/>
      <c r="HL87" s="32"/>
      <c r="HM87" s="32"/>
      <c r="HN87" s="32"/>
      <c r="HO87" s="32"/>
      <c r="HP87" s="32"/>
      <c r="HQ87" s="32"/>
      <c r="HR87" s="32"/>
      <c r="HS87" s="32"/>
      <c r="HT87" s="32"/>
      <c r="HU87" s="32"/>
      <c r="HV87" s="32"/>
      <c r="HW87" s="32"/>
      <c r="HX87" s="32"/>
      <c r="HY87" s="32"/>
      <c r="HZ87" s="32"/>
      <c r="IA87" s="32"/>
      <c r="IB87" s="32"/>
      <c r="IC87" s="32"/>
      <c r="ID87" s="32"/>
      <c r="IE87" s="32"/>
      <c r="IF87" s="32"/>
      <c r="IG87" s="32"/>
      <c r="IH87" s="32"/>
      <c r="II87" s="32"/>
      <c r="IJ87" s="32"/>
      <c r="IK87" s="32"/>
      <c r="IL87" s="32"/>
      <c r="IM87" s="32"/>
      <c r="IN87" s="32"/>
      <c r="IO87" s="32"/>
      <c r="IP87" s="32"/>
      <c r="IQ87" s="32"/>
    </row>
    <row r="88" spans="1:251" ht="15.75" x14ac:dyDescent="0.25">
      <c r="A88" s="11">
        <v>32</v>
      </c>
      <c r="B88" s="11" t="s">
        <v>52</v>
      </c>
      <c r="C88" s="11" t="s">
        <v>174</v>
      </c>
      <c r="D88" s="32" t="s">
        <v>103</v>
      </c>
      <c r="E88" s="33" t="s">
        <v>95</v>
      </c>
      <c r="F88" s="11" t="s">
        <v>54</v>
      </c>
      <c r="G88" s="13">
        <v>42680</v>
      </c>
      <c r="I88" s="13">
        <v>43041</v>
      </c>
      <c r="J88" s="14">
        <v>43152</v>
      </c>
      <c r="K88" s="37">
        <v>106</v>
      </c>
      <c r="L88" s="16">
        <f t="shared" si="0"/>
        <v>472</v>
      </c>
      <c r="M88" s="16">
        <v>690</v>
      </c>
      <c r="N88" s="16">
        <v>758</v>
      </c>
      <c r="O88" s="16">
        <v>780</v>
      </c>
      <c r="P88" s="17">
        <f t="shared" si="1"/>
        <v>769</v>
      </c>
      <c r="U88" s="18">
        <v>1045</v>
      </c>
      <c r="V88" s="17">
        <v>1055</v>
      </c>
      <c r="W88" s="17">
        <v>1055</v>
      </c>
      <c r="X88" s="17">
        <f t="shared" si="2"/>
        <v>1055</v>
      </c>
      <c r="Y88" s="20">
        <f t="shared" si="3"/>
        <v>2.2351694915254239</v>
      </c>
      <c r="Z88" s="17">
        <f t="shared" si="4"/>
        <v>286</v>
      </c>
      <c r="AA88" s="20">
        <f t="shared" si="5"/>
        <v>2.5535714285714284</v>
      </c>
      <c r="AB88" s="21">
        <v>52</v>
      </c>
      <c r="AC88" s="22">
        <f t="shared" si="6"/>
        <v>5.3341740800000021</v>
      </c>
      <c r="AD88" s="23">
        <v>12.227499999999999</v>
      </c>
      <c r="AE88" s="24">
        <f t="shared" si="7"/>
        <v>1.1700956937799041</v>
      </c>
      <c r="AF88" s="23">
        <v>0.29225299999999999</v>
      </c>
      <c r="AG88" s="23">
        <v>3.7443200000000001</v>
      </c>
      <c r="AH88" s="23">
        <v>0.31933099999999998</v>
      </c>
      <c r="AI88" s="25">
        <v>36</v>
      </c>
      <c r="AJ88" s="26">
        <v>3</v>
      </c>
      <c r="AK88" s="26">
        <v>6</v>
      </c>
      <c r="AL88" s="27">
        <v>15</v>
      </c>
      <c r="AM88" s="27">
        <v>11</v>
      </c>
      <c r="AN88" s="27">
        <f t="shared" si="8"/>
        <v>165</v>
      </c>
      <c r="AO88" s="28">
        <f t="shared" si="61"/>
        <v>90.552178318135773</v>
      </c>
      <c r="AP88" s="28">
        <f t="shared" si="62"/>
        <v>100.87031842930207</v>
      </c>
      <c r="AQ88" s="28">
        <f t="shared" si="63"/>
        <v>93.521736047088865</v>
      </c>
      <c r="AR88" s="28">
        <f t="shared" si="64"/>
        <v>106.98057142857142</v>
      </c>
      <c r="AS88" s="28">
        <f t="shared" si="65"/>
        <v>96.774193548387089</v>
      </c>
      <c r="AT88" s="28">
        <f t="shared" si="9"/>
        <v>97.117598031271925</v>
      </c>
      <c r="AU88" s="35"/>
      <c r="AV88" s="30"/>
      <c r="AW88" s="30"/>
      <c r="AX88" s="30"/>
      <c r="AY88" s="29"/>
      <c r="AZ88" s="30"/>
      <c r="BA88" s="30"/>
      <c r="BC88" s="30"/>
      <c r="BD88" s="30"/>
      <c r="BE88" s="30"/>
      <c r="BF88" s="30"/>
      <c r="BG88" s="30"/>
      <c r="BH88" s="29"/>
      <c r="BI88" s="30"/>
      <c r="BJ88" s="30"/>
      <c r="BK88" s="30"/>
      <c r="BL88" s="29"/>
      <c r="BM88" s="30"/>
      <c r="BN88" s="29"/>
      <c r="BO88" s="30"/>
      <c r="BP88" s="30"/>
      <c r="BQ88" s="30"/>
      <c r="BR88" s="30"/>
      <c r="BS88" s="31"/>
      <c r="BT88" s="30"/>
      <c r="BU88" s="30"/>
    </row>
    <row r="89" spans="1:251" x14ac:dyDescent="0.2">
      <c r="A89" s="16">
        <v>49</v>
      </c>
      <c r="B89" s="11" t="s">
        <v>52</v>
      </c>
      <c r="C89" s="11" t="s">
        <v>174</v>
      </c>
      <c r="D89" s="11" t="s">
        <v>114</v>
      </c>
      <c r="E89" s="12" t="s">
        <v>115</v>
      </c>
      <c r="F89" s="11" t="s">
        <v>54</v>
      </c>
      <c r="G89" s="13">
        <v>42628</v>
      </c>
      <c r="I89" s="13">
        <v>43041</v>
      </c>
      <c r="J89" s="14">
        <v>43152</v>
      </c>
      <c r="K89" s="15">
        <v>110</v>
      </c>
      <c r="L89" s="16">
        <f t="shared" si="0"/>
        <v>524</v>
      </c>
      <c r="M89" s="16">
        <v>1025</v>
      </c>
      <c r="N89" s="16">
        <v>1010</v>
      </c>
      <c r="O89" s="16">
        <v>1025</v>
      </c>
      <c r="P89" s="17">
        <f t="shared" si="1"/>
        <v>1017.5</v>
      </c>
      <c r="U89" s="18">
        <v>1315</v>
      </c>
      <c r="V89" s="17">
        <v>1290</v>
      </c>
      <c r="W89" s="17">
        <v>1315</v>
      </c>
      <c r="X89" s="17">
        <f t="shared" si="2"/>
        <v>1302.5</v>
      </c>
      <c r="Y89" s="20">
        <f t="shared" si="3"/>
        <v>2.4856870229007635</v>
      </c>
      <c r="Z89" s="17">
        <f t="shared" si="4"/>
        <v>285</v>
      </c>
      <c r="AA89" s="20">
        <f t="shared" si="5"/>
        <v>2.5446428571428572</v>
      </c>
      <c r="AB89" s="21">
        <v>57</v>
      </c>
      <c r="AC89" s="22">
        <f t="shared" si="6"/>
        <v>7.4565859200000002</v>
      </c>
      <c r="AD89" s="23">
        <v>15.370100000000001</v>
      </c>
      <c r="AE89" s="24">
        <f t="shared" si="7"/>
        <v>1.1688288973384031</v>
      </c>
      <c r="AF89" s="23">
        <v>0.283111</v>
      </c>
      <c r="AG89" s="23">
        <v>3.0677300000000001</v>
      </c>
      <c r="AH89" s="23">
        <v>0.343223</v>
      </c>
      <c r="AI89" s="25">
        <v>40</v>
      </c>
      <c r="AJ89" s="26">
        <v>3</v>
      </c>
      <c r="AK89" s="26">
        <v>7</v>
      </c>
      <c r="AL89" s="27">
        <v>16</v>
      </c>
      <c r="AM89" s="27">
        <v>12</v>
      </c>
      <c r="AN89" s="27">
        <f t="shared" si="8"/>
        <v>192</v>
      </c>
      <c r="AO89" s="28">
        <f t="shared" si="61"/>
        <v>90.235562310030403</v>
      </c>
      <c r="AP89" s="28">
        <f t="shared" si="62"/>
        <v>100.76111183951753</v>
      </c>
      <c r="AQ89" s="28">
        <f t="shared" si="63"/>
        <v>104.00364112555496</v>
      </c>
      <c r="AR89" s="28">
        <f t="shared" si="64"/>
        <v>87.649428571428572</v>
      </c>
      <c r="AS89" s="28">
        <f t="shared" si="65"/>
        <v>107.5268817204301</v>
      </c>
      <c r="AT89" s="28">
        <f t="shared" si="9"/>
        <v>96.306193172352351</v>
      </c>
    </row>
    <row r="90" spans="1:251" s="35" customFormat="1" ht="15.75" x14ac:dyDescent="0.25">
      <c r="A90" s="54"/>
      <c r="D90" s="35" t="s">
        <v>183</v>
      </c>
      <c r="E90" s="50"/>
      <c r="G90" s="51"/>
      <c r="H90" s="51"/>
      <c r="I90" s="51"/>
      <c r="J90" s="52"/>
      <c r="K90" s="53"/>
      <c r="L90" s="54"/>
      <c r="M90" s="54"/>
      <c r="N90" s="54"/>
      <c r="O90" s="54"/>
      <c r="P90" s="59"/>
      <c r="Q90" s="59"/>
      <c r="R90" s="59"/>
      <c r="S90" s="59"/>
      <c r="T90" s="59"/>
      <c r="U90" s="67"/>
      <c r="V90" s="59"/>
      <c r="W90" s="59"/>
      <c r="X90" s="59"/>
      <c r="Y90" s="65">
        <f>AVERAGE(Y84:Y89)</f>
        <v>2.3905949588173017</v>
      </c>
      <c r="Z90" s="59"/>
      <c r="AA90" s="65">
        <f>AVERAGE(AA84:AA89)</f>
        <v>2.816964285714286</v>
      </c>
      <c r="AB90" s="69"/>
      <c r="AC90" s="61"/>
      <c r="AD90" s="66"/>
      <c r="AE90" s="65">
        <f>AVERAGE(AE84:AE89)</f>
        <v>1.156038151365991</v>
      </c>
      <c r="AF90" s="66"/>
      <c r="AG90" s="65">
        <f>AVERAGE(AG84:AG89)</f>
        <v>3.5005649999999999</v>
      </c>
      <c r="AH90" s="66"/>
      <c r="AI90" s="65">
        <f>AVERAGE(AI84:AI89)</f>
        <v>37.166666666666664</v>
      </c>
      <c r="AJ90" s="70"/>
      <c r="AK90" s="70"/>
      <c r="AL90" s="71"/>
      <c r="AM90" s="71"/>
      <c r="AN90" s="71"/>
      <c r="AO90" s="65">
        <f t="shared" ref="AO90:AT90" si="66">AVERAGE(AO84:AO89)</f>
        <v>99.892350557244185</v>
      </c>
      <c r="AP90" s="65">
        <f t="shared" si="66"/>
        <v>99.658461324654397</v>
      </c>
      <c r="AQ90" s="65">
        <f t="shared" si="66"/>
        <v>100.02489367436408</v>
      </c>
      <c r="AR90" s="65">
        <f t="shared" si="66"/>
        <v>100.01614285714284</v>
      </c>
      <c r="AS90" s="65">
        <f t="shared" si="66"/>
        <v>99.910394265232966</v>
      </c>
      <c r="AT90" s="65">
        <f t="shared" si="66"/>
        <v>99.898644164928825</v>
      </c>
      <c r="AX90" s="56"/>
      <c r="AY90" s="54"/>
      <c r="AZ90" s="56"/>
      <c r="BA90" s="56"/>
      <c r="BB90" s="54"/>
      <c r="BC90" s="54"/>
      <c r="BG90" s="56"/>
      <c r="BH90" s="54"/>
      <c r="BI90" s="56"/>
      <c r="BJ90" s="56"/>
      <c r="BO90" s="56"/>
      <c r="BS90" s="55"/>
      <c r="BT90" s="56"/>
      <c r="BU90" s="56"/>
    </row>
    <row r="91" spans="1:251" x14ac:dyDescent="0.2">
      <c r="A91" s="16"/>
      <c r="J91" s="14"/>
      <c r="M91" s="16"/>
      <c r="U91" s="18"/>
      <c r="AD91" s="23"/>
      <c r="AF91" s="23"/>
      <c r="AG91" s="23"/>
      <c r="AH91" s="23"/>
    </row>
    <row r="92" spans="1:251" x14ac:dyDescent="0.2">
      <c r="A92" s="16">
        <v>37</v>
      </c>
      <c r="B92" s="11" t="s">
        <v>52</v>
      </c>
      <c r="C92" s="11" t="s">
        <v>174</v>
      </c>
      <c r="D92" s="32" t="s">
        <v>103</v>
      </c>
      <c r="E92" s="12" t="s">
        <v>169</v>
      </c>
      <c r="F92" s="11" t="s">
        <v>54</v>
      </c>
      <c r="G92" s="13">
        <v>42685</v>
      </c>
      <c r="I92" s="13">
        <v>43041</v>
      </c>
      <c r="J92" s="14">
        <v>43152</v>
      </c>
      <c r="K92" s="37">
        <v>106</v>
      </c>
      <c r="L92" s="16">
        <f t="shared" ref="L92:L140" si="67">J92-G92</f>
        <v>467</v>
      </c>
      <c r="M92" s="16">
        <v>786</v>
      </c>
      <c r="N92" s="16">
        <v>866</v>
      </c>
      <c r="O92" s="16">
        <v>886</v>
      </c>
      <c r="P92" s="17">
        <f t="shared" ref="P92:P101" si="68">AVERAGE(N92:O92)</f>
        <v>876</v>
      </c>
      <c r="U92" s="18"/>
      <c r="AD92" s="23"/>
      <c r="AF92" s="23"/>
      <c r="AG92" s="23"/>
      <c r="AH92" s="23"/>
      <c r="AU92" s="11" t="s">
        <v>180</v>
      </c>
    </row>
    <row r="93" spans="1:251" x14ac:dyDescent="0.2">
      <c r="A93" s="11">
        <v>56</v>
      </c>
      <c r="B93" s="11" t="s">
        <v>52</v>
      </c>
      <c r="C93" s="11" t="s">
        <v>174</v>
      </c>
      <c r="D93" s="11" t="s">
        <v>117</v>
      </c>
      <c r="E93" s="12" t="s">
        <v>123</v>
      </c>
      <c r="F93" s="11" t="s">
        <v>54</v>
      </c>
      <c r="G93" s="13">
        <v>42626</v>
      </c>
      <c r="I93" s="13">
        <v>43041</v>
      </c>
      <c r="J93" s="14">
        <v>43152</v>
      </c>
      <c r="K93" s="15">
        <v>111</v>
      </c>
      <c r="L93" s="16">
        <f t="shared" si="67"/>
        <v>526</v>
      </c>
      <c r="M93" s="16">
        <v>816</v>
      </c>
      <c r="N93" s="16">
        <v>876</v>
      </c>
      <c r="O93" s="16">
        <v>920</v>
      </c>
      <c r="P93" s="17">
        <f t="shared" si="68"/>
        <v>898</v>
      </c>
      <c r="U93" s="18"/>
      <c r="W93" s="19"/>
      <c r="AD93" s="23"/>
      <c r="AF93" s="23"/>
      <c r="AG93" s="23"/>
      <c r="AH93" s="23"/>
      <c r="AU93" s="11" t="s">
        <v>180</v>
      </c>
      <c r="AV93" s="30"/>
      <c r="AW93" s="30"/>
      <c r="AX93" s="30"/>
      <c r="AY93" s="29"/>
      <c r="AZ93" s="30"/>
      <c r="BA93" s="30"/>
      <c r="BC93" s="30"/>
      <c r="BD93" s="30"/>
      <c r="BE93" s="30"/>
      <c r="BF93" s="30"/>
      <c r="BG93" s="30"/>
      <c r="BH93" s="29"/>
      <c r="BI93" s="30"/>
      <c r="BJ93" s="30"/>
      <c r="BK93" s="30"/>
      <c r="BL93" s="29"/>
      <c r="BM93" s="30"/>
      <c r="BN93" s="29"/>
      <c r="BO93" s="30"/>
      <c r="BP93" s="30"/>
      <c r="BQ93" s="30"/>
      <c r="BR93" s="30"/>
      <c r="BS93" s="31"/>
      <c r="BT93" s="30"/>
      <c r="BU93" s="30"/>
    </row>
    <row r="94" spans="1:251" x14ac:dyDescent="0.2">
      <c r="J94" s="14"/>
      <c r="M94" s="16"/>
      <c r="U94" s="18"/>
      <c r="W94" s="19"/>
      <c r="AD94" s="23"/>
      <c r="AF94" s="23"/>
      <c r="AG94" s="23"/>
      <c r="AH94" s="23"/>
      <c r="AV94" s="30"/>
      <c r="AW94" s="30"/>
      <c r="AX94" s="30"/>
      <c r="AY94" s="29"/>
      <c r="AZ94" s="30"/>
      <c r="BA94" s="30"/>
      <c r="BC94" s="30"/>
      <c r="BD94" s="30"/>
      <c r="BE94" s="30"/>
      <c r="BF94" s="30"/>
      <c r="BG94" s="30"/>
      <c r="BH94" s="29"/>
      <c r="BI94" s="30"/>
      <c r="BJ94" s="30"/>
      <c r="BK94" s="30"/>
      <c r="BL94" s="29"/>
      <c r="BM94" s="30"/>
      <c r="BN94" s="29"/>
      <c r="BO94" s="30"/>
      <c r="BP94" s="30"/>
      <c r="BQ94" s="30"/>
      <c r="BR94" s="30"/>
      <c r="BS94" s="31"/>
      <c r="BT94" s="30"/>
      <c r="BU94" s="30"/>
    </row>
    <row r="95" spans="1:251" x14ac:dyDescent="0.2">
      <c r="J95" s="14"/>
      <c r="M95" s="16"/>
      <c r="U95" s="18"/>
      <c r="W95" s="19"/>
      <c r="AD95" s="23"/>
      <c r="AF95" s="23"/>
      <c r="AG95" s="23"/>
      <c r="AH95" s="23"/>
      <c r="AV95" s="30"/>
      <c r="AW95" s="30"/>
      <c r="AX95" s="30"/>
      <c r="AY95" s="29"/>
      <c r="AZ95" s="30"/>
      <c r="BA95" s="30"/>
      <c r="BC95" s="30"/>
      <c r="BD95" s="30"/>
      <c r="BE95" s="30"/>
      <c r="BF95" s="30"/>
      <c r="BG95" s="30"/>
      <c r="BH95" s="29"/>
      <c r="BI95" s="30"/>
      <c r="BJ95" s="30"/>
      <c r="BK95" s="30"/>
      <c r="BL95" s="29"/>
      <c r="BM95" s="30"/>
      <c r="BN95" s="29"/>
      <c r="BO95" s="30"/>
      <c r="BP95" s="30"/>
      <c r="BQ95" s="30"/>
      <c r="BR95" s="30"/>
      <c r="BS95" s="31"/>
      <c r="BT95" s="30"/>
      <c r="BU95" s="30"/>
    </row>
    <row r="96" spans="1:251" x14ac:dyDescent="0.2">
      <c r="A96" s="16">
        <v>78</v>
      </c>
      <c r="B96" s="11" t="s">
        <v>52</v>
      </c>
      <c r="C96" s="11" t="s">
        <v>174</v>
      </c>
      <c r="D96" s="11" t="s">
        <v>148</v>
      </c>
      <c r="E96" s="12" t="s">
        <v>150</v>
      </c>
      <c r="F96" s="11" t="s">
        <v>149</v>
      </c>
      <c r="G96" s="13">
        <v>42619</v>
      </c>
      <c r="I96" s="13">
        <v>43041</v>
      </c>
      <c r="J96" s="14">
        <v>43152</v>
      </c>
      <c r="K96" s="15">
        <v>117</v>
      </c>
      <c r="L96" s="16">
        <f t="shared" si="67"/>
        <v>533</v>
      </c>
      <c r="M96" s="16">
        <v>1145</v>
      </c>
      <c r="N96" s="16">
        <v>1050</v>
      </c>
      <c r="O96" s="16">
        <v>1075</v>
      </c>
      <c r="P96" s="17">
        <f t="shared" si="68"/>
        <v>1062.5</v>
      </c>
      <c r="U96" s="18">
        <v>1535</v>
      </c>
      <c r="V96" s="17">
        <v>1535</v>
      </c>
      <c r="W96" s="17">
        <v>1520</v>
      </c>
      <c r="X96" s="17">
        <f t="shared" ref="X96:X105" si="69">(V96+W96)/2</f>
        <v>1527.5</v>
      </c>
      <c r="Y96" s="20">
        <f t="shared" ref="Y96:Y105" si="70">(X96/L96)</f>
        <v>2.8658536585365852</v>
      </c>
      <c r="Z96" s="17">
        <f t="shared" ref="Z96:Z105" si="71">(X96-P96)</f>
        <v>465</v>
      </c>
      <c r="AA96" s="20">
        <f t="shared" ref="AA96:AA105" si="72">(Z96/112)</f>
        <v>4.1517857142857144</v>
      </c>
      <c r="AB96" s="21">
        <v>52.5</v>
      </c>
      <c r="AC96" s="22">
        <f t="shared" ref="AC96:AC105" si="73">-11.548+0.4878*(AB96)-0.0289*(L96)+0.00001947*(L96*L96)+0.0000334*(AB96*L96)</f>
        <v>5.1236283300000016</v>
      </c>
      <c r="AD96" s="23">
        <v>16.690000000000001</v>
      </c>
      <c r="AE96" s="24">
        <f t="shared" ref="AE96:AE105" si="74">AD96/U96*100</f>
        <v>1.087296416938111</v>
      </c>
      <c r="AF96" s="23">
        <v>0.31882300000000002</v>
      </c>
      <c r="AG96" s="23">
        <v>4.1330099999999996</v>
      </c>
      <c r="AH96" s="23">
        <v>0.21233299999999999</v>
      </c>
      <c r="AI96" s="25">
        <v>42.5</v>
      </c>
      <c r="AJ96" s="26">
        <v>1</v>
      </c>
      <c r="AK96" s="26">
        <v>7</v>
      </c>
      <c r="AL96" s="27">
        <v>16</v>
      </c>
      <c r="AM96" s="27">
        <v>14</v>
      </c>
      <c r="AN96" s="27">
        <f t="shared" ref="AN96:AN105" si="75">(AL96*AM96)</f>
        <v>224</v>
      </c>
      <c r="AO96" s="28">
        <f>(AA96/3.65)*100</f>
        <v>113.74755381604697</v>
      </c>
      <c r="AP96" s="28">
        <f>(AE96/1.05)*100</f>
        <v>103.5520397083915</v>
      </c>
      <c r="AQ96" s="28">
        <f>(Y96/2.85)*100</f>
        <v>100.55626872058194</v>
      </c>
      <c r="AR96" s="28">
        <f>(AG96/3.97)*100</f>
        <v>104.10604534005037</v>
      </c>
      <c r="AS96" s="28">
        <f>(AI96/40.3)*100</f>
        <v>105.4590570719603</v>
      </c>
      <c r="AT96" s="28">
        <f t="shared" ref="AT96:AT105" si="76">(AO96*0.3)+(AP96*0.2)+(AQ96*0.2)+(AR96*0.2)+(AS96*0.1)</f>
        <v>106.31304260581489</v>
      </c>
      <c r="AU96" s="11" t="s">
        <v>209</v>
      </c>
    </row>
    <row r="97" spans="1:251" x14ac:dyDescent="0.2">
      <c r="A97" s="11">
        <v>77</v>
      </c>
      <c r="B97" s="11" t="s">
        <v>52</v>
      </c>
      <c r="C97" s="11" t="s">
        <v>174</v>
      </c>
      <c r="D97" s="11" t="s">
        <v>148</v>
      </c>
      <c r="E97" s="12" t="s">
        <v>151</v>
      </c>
      <c r="F97" s="11" t="s">
        <v>149</v>
      </c>
      <c r="G97" s="13">
        <v>42629</v>
      </c>
      <c r="I97" s="13">
        <v>43041</v>
      </c>
      <c r="J97" s="14">
        <v>43152</v>
      </c>
      <c r="K97" s="15">
        <v>117</v>
      </c>
      <c r="L97" s="16">
        <f t="shared" si="67"/>
        <v>523</v>
      </c>
      <c r="M97" s="16">
        <v>1260</v>
      </c>
      <c r="N97" s="16">
        <v>1250</v>
      </c>
      <c r="O97" s="16">
        <v>1270</v>
      </c>
      <c r="P97" s="17">
        <f t="shared" si="68"/>
        <v>1260</v>
      </c>
      <c r="U97" s="18">
        <v>1645</v>
      </c>
      <c r="V97" s="17">
        <v>1680</v>
      </c>
      <c r="W97" s="19">
        <v>1675</v>
      </c>
      <c r="X97" s="17">
        <f t="shared" si="69"/>
        <v>1677.5</v>
      </c>
      <c r="Y97" s="20">
        <f t="shared" si="70"/>
        <v>3.2074569789674952</v>
      </c>
      <c r="Z97" s="17">
        <f t="shared" si="71"/>
        <v>417.5</v>
      </c>
      <c r="AA97" s="20">
        <f t="shared" si="72"/>
        <v>3.7276785714285716</v>
      </c>
      <c r="AB97" s="21">
        <v>57</v>
      </c>
      <c r="AC97" s="22">
        <f t="shared" si="73"/>
        <v>7.4631970299999999</v>
      </c>
      <c r="AD97" s="23">
        <v>15.280900000000001</v>
      </c>
      <c r="AE97" s="24">
        <f t="shared" si="74"/>
        <v>0.92893009118541026</v>
      </c>
      <c r="AF97" s="23">
        <v>0.23961199999999999</v>
      </c>
      <c r="AG97" s="23">
        <v>4.0075399999999997</v>
      </c>
      <c r="AH97" s="23">
        <v>0.26938499999999999</v>
      </c>
      <c r="AI97" s="25">
        <v>43</v>
      </c>
      <c r="AJ97" s="26">
        <v>1</v>
      </c>
      <c r="AK97" s="26">
        <v>7</v>
      </c>
      <c r="AL97" s="27">
        <v>15.5</v>
      </c>
      <c r="AM97" s="27">
        <v>12.5</v>
      </c>
      <c r="AN97" s="27">
        <f t="shared" si="75"/>
        <v>193.75</v>
      </c>
      <c r="AO97" s="28">
        <f t="shared" ref="AO97:AO98" si="77">(AA97/3.65)*100</f>
        <v>102.12818003913895</v>
      </c>
      <c r="AP97" s="28">
        <f t="shared" ref="AP97:AP98" si="78">(AE97/1.05)*100</f>
        <v>88.46953249384859</v>
      </c>
      <c r="AQ97" s="28">
        <f t="shared" ref="AQ97:AQ98" si="79">(Y97/2.85)*100</f>
        <v>112.54235013921034</v>
      </c>
      <c r="AR97" s="28">
        <f t="shared" ref="AR97:AR98" si="80">(AG97/3.97)*100</f>
        <v>100.94559193954657</v>
      </c>
      <c r="AS97" s="28">
        <f t="shared" ref="AS97:AS98" si="81">(AI97/40.3)*100</f>
        <v>106.69975186104219</v>
      </c>
      <c r="AT97" s="28">
        <f t="shared" si="76"/>
        <v>101.69992411236701</v>
      </c>
      <c r="AV97" s="30"/>
      <c r="AW97" s="30"/>
      <c r="AX97" s="30"/>
      <c r="AY97" s="29"/>
      <c r="AZ97" s="30"/>
      <c r="BA97" s="30"/>
      <c r="BC97" s="30"/>
      <c r="BD97" s="30"/>
      <c r="BE97" s="30"/>
      <c r="BF97" s="30"/>
      <c r="BG97" s="30"/>
      <c r="BH97" s="29"/>
      <c r="BI97" s="30"/>
      <c r="BJ97" s="30"/>
      <c r="BK97" s="30"/>
      <c r="BL97" s="29"/>
      <c r="BM97" s="30"/>
      <c r="BN97" s="29"/>
      <c r="BO97" s="30"/>
      <c r="BP97" s="30"/>
      <c r="BQ97" s="30"/>
      <c r="BR97" s="30"/>
      <c r="BS97" s="31"/>
      <c r="BT97" s="30"/>
      <c r="BU97" s="30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/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/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/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  <c r="FU97" s="32"/>
      <c r="FV97" s="32"/>
      <c r="FW97" s="32"/>
      <c r="FX97" s="32"/>
      <c r="FY97" s="32"/>
      <c r="FZ97" s="32"/>
      <c r="GA97" s="32"/>
      <c r="GB97" s="32"/>
      <c r="GC97" s="32"/>
      <c r="GD97" s="32"/>
      <c r="GE97" s="32"/>
      <c r="GF97" s="32"/>
      <c r="GG97" s="32"/>
      <c r="GH97" s="32"/>
      <c r="GI97" s="32"/>
      <c r="GJ97" s="32"/>
      <c r="GK97" s="32"/>
      <c r="GL97" s="32"/>
      <c r="GM97" s="32"/>
      <c r="GN97" s="32"/>
      <c r="GO97" s="32"/>
      <c r="GP97" s="32"/>
      <c r="GQ97" s="32"/>
      <c r="GR97" s="32"/>
      <c r="GS97" s="32"/>
      <c r="GT97" s="32"/>
      <c r="GU97" s="32"/>
      <c r="GV97" s="32"/>
      <c r="GW97" s="32"/>
      <c r="GX97" s="32"/>
      <c r="GY97" s="32"/>
      <c r="GZ97" s="32"/>
      <c r="HA97" s="32"/>
      <c r="HB97" s="32"/>
      <c r="HC97" s="32"/>
      <c r="HD97" s="32"/>
      <c r="HE97" s="32"/>
      <c r="HF97" s="32"/>
      <c r="HG97" s="32"/>
      <c r="HH97" s="32"/>
      <c r="HI97" s="32"/>
      <c r="HJ97" s="32"/>
      <c r="HK97" s="32"/>
      <c r="HL97" s="32"/>
      <c r="HM97" s="32"/>
      <c r="HN97" s="32"/>
      <c r="HO97" s="32"/>
      <c r="HP97" s="32"/>
      <c r="HQ97" s="32"/>
      <c r="HR97" s="32"/>
      <c r="HS97" s="32"/>
      <c r="HT97" s="32"/>
      <c r="HU97" s="32"/>
      <c r="HV97" s="32"/>
      <c r="HW97" s="32"/>
      <c r="HX97" s="32"/>
      <c r="HY97" s="32"/>
      <c r="HZ97" s="32"/>
      <c r="IA97" s="32"/>
      <c r="IB97" s="32"/>
      <c r="IC97" s="32"/>
      <c r="ID97" s="32"/>
      <c r="IE97" s="32"/>
      <c r="IF97" s="32"/>
      <c r="IG97" s="32"/>
      <c r="IH97" s="32"/>
      <c r="II97" s="32"/>
      <c r="IJ97" s="32"/>
      <c r="IK97" s="32"/>
      <c r="IL97" s="32"/>
      <c r="IM97" s="32"/>
      <c r="IN97" s="32"/>
      <c r="IO97" s="32"/>
      <c r="IP97" s="32"/>
      <c r="IQ97" s="32"/>
    </row>
    <row r="98" spans="1:251" x14ac:dyDescent="0.2">
      <c r="A98" s="16">
        <v>83</v>
      </c>
      <c r="B98" s="11" t="s">
        <v>52</v>
      </c>
      <c r="C98" s="11" t="s">
        <v>174</v>
      </c>
      <c r="D98" s="11" t="s">
        <v>67</v>
      </c>
      <c r="E98" s="12" t="s">
        <v>170</v>
      </c>
      <c r="F98" s="11" t="s">
        <v>149</v>
      </c>
      <c r="G98" s="13">
        <v>42722</v>
      </c>
      <c r="I98" s="13">
        <v>43041</v>
      </c>
      <c r="J98" s="14">
        <v>43152</v>
      </c>
      <c r="K98" s="15">
        <v>119</v>
      </c>
      <c r="L98" s="16">
        <f t="shared" si="67"/>
        <v>430</v>
      </c>
      <c r="M98" s="16">
        <v>698</v>
      </c>
      <c r="N98" s="16">
        <v>704</v>
      </c>
      <c r="O98" s="16">
        <v>726</v>
      </c>
      <c r="P98" s="17">
        <f t="shared" si="68"/>
        <v>715</v>
      </c>
      <c r="U98" s="18">
        <v>1045</v>
      </c>
      <c r="V98" s="17">
        <v>1075</v>
      </c>
      <c r="W98" s="17">
        <v>1045</v>
      </c>
      <c r="X98" s="17">
        <f t="shared" si="69"/>
        <v>1060</v>
      </c>
      <c r="Y98" s="20">
        <f t="shared" si="70"/>
        <v>2.4651162790697674</v>
      </c>
      <c r="Z98" s="17">
        <f t="shared" si="71"/>
        <v>345</v>
      </c>
      <c r="AA98" s="20">
        <f t="shared" si="72"/>
        <v>3.0803571428571428</v>
      </c>
      <c r="AB98" s="21">
        <v>51</v>
      </c>
      <c r="AC98" s="22">
        <f t="shared" si="73"/>
        <v>5.2352650000000018</v>
      </c>
      <c r="AD98" s="23">
        <v>11.696</v>
      </c>
      <c r="AE98" s="24">
        <f t="shared" si="74"/>
        <v>1.1192344497607654</v>
      </c>
      <c r="AF98" s="23">
        <v>0.121074</v>
      </c>
      <c r="AG98" s="23">
        <v>3.7765900000000001</v>
      </c>
      <c r="AH98" s="23">
        <v>0.14341699999999999</v>
      </c>
      <c r="AI98" s="25">
        <v>35.5</v>
      </c>
      <c r="AJ98" s="26">
        <v>1</v>
      </c>
      <c r="AK98" s="26">
        <v>6</v>
      </c>
      <c r="AL98" s="27">
        <v>14.5</v>
      </c>
      <c r="AM98" s="27">
        <v>11</v>
      </c>
      <c r="AN98" s="27">
        <f t="shared" si="75"/>
        <v>159.5</v>
      </c>
      <c r="AO98" s="28">
        <f t="shared" si="77"/>
        <v>84.393346379647753</v>
      </c>
      <c r="AP98" s="28">
        <f t="shared" si="78"/>
        <v>106.59375712007288</v>
      </c>
      <c r="AQ98" s="28">
        <f t="shared" si="79"/>
        <v>86.495308037535693</v>
      </c>
      <c r="AR98" s="28">
        <f t="shared" si="80"/>
        <v>95.128211586901756</v>
      </c>
      <c r="AS98" s="28">
        <f t="shared" si="81"/>
        <v>88.089330024813904</v>
      </c>
      <c r="AT98" s="28">
        <f t="shared" si="76"/>
        <v>91.770392265277806</v>
      </c>
    </row>
    <row r="99" spans="1:251" s="35" customFormat="1" ht="15.75" x14ac:dyDescent="0.25">
      <c r="A99" s="54"/>
      <c r="D99" s="35" t="s">
        <v>189</v>
      </c>
      <c r="E99" s="50"/>
      <c r="G99" s="51"/>
      <c r="H99" s="51"/>
      <c r="I99" s="51"/>
      <c r="J99" s="52"/>
      <c r="K99" s="53"/>
      <c r="L99" s="54"/>
      <c r="M99" s="54"/>
      <c r="N99" s="54"/>
      <c r="O99" s="54"/>
      <c r="P99" s="59"/>
      <c r="Q99" s="59"/>
      <c r="R99" s="59"/>
      <c r="S99" s="59"/>
      <c r="T99" s="59"/>
      <c r="U99" s="67"/>
      <c r="V99" s="59"/>
      <c r="W99" s="59"/>
      <c r="X99" s="59"/>
      <c r="Y99" s="65">
        <f>AVERAGE(Y96:Y98)</f>
        <v>2.8461423055246158</v>
      </c>
      <c r="Z99" s="59"/>
      <c r="AA99" s="65">
        <f>AVERAGE(AA96:AA98)</f>
        <v>3.6532738095238098</v>
      </c>
      <c r="AB99" s="69"/>
      <c r="AC99" s="61"/>
      <c r="AD99" s="66"/>
      <c r="AE99" s="65">
        <f>AVERAGE(AE96:AE98)</f>
        <v>1.0451536526280956</v>
      </c>
      <c r="AF99" s="66"/>
      <c r="AG99" s="65">
        <f>AVERAGE(AG96:AG98)</f>
        <v>3.9723799999999998</v>
      </c>
      <c r="AH99" s="66"/>
      <c r="AI99" s="65">
        <f>AVERAGE(AI96:AI98)</f>
        <v>40.333333333333336</v>
      </c>
      <c r="AJ99" s="70"/>
      <c r="AK99" s="70"/>
      <c r="AL99" s="71"/>
      <c r="AM99" s="71"/>
      <c r="AN99" s="71"/>
      <c r="AO99" s="65">
        <f t="shared" ref="AO99:AT99" si="82">AVERAGE(AO96:AO98)</f>
        <v>100.08969341161122</v>
      </c>
      <c r="AP99" s="65">
        <f t="shared" si="82"/>
        <v>99.538443107437658</v>
      </c>
      <c r="AQ99" s="65">
        <f t="shared" si="82"/>
        <v>99.86464229910932</v>
      </c>
      <c r="AR99" s="65">
        <f t="shared" si="82"/>
        <v>100.05994962216623</v>
      </c>
      <c r="AS99" s="65">
        <f t="shared" si="82"/>
        <v>100.08271298593881</v>
      </c>
      <c r="AT99" s="65">
        <f t="shared" si="82"/>
        <v>99.927786327819902</v>
      </c>
      <c r="AX99" s="56"/>
      <c r="AY99" s="54"/>
      <c r="AZ99" s="56"/>
      <c r="BA99" s="56"/>
      <c r="BB99" s="54"/>
      <c r="BC99" s="54"/>
      <c r="BG99" s="56"/>
      <c r="BH99" s="54"/>
      <c r="BI99" s="56"/>
      <c r="BJ99" s="56"/>
      <c r="BO99" s="56"/>
      <c r="BS99" s="55"/>
      <c r="BT99" s="56"/>
      <c r="BU99" s="56"/>
    </row>
    <row r="100" spans="1:251" x14ac:dyDescent="0.2">
      <c r="A100" s="16"/>
      <c r="J100" s="14"/>
      <c r="M100" s="16"/>
      <c r="U100" s="18"/>
      <c r="AD100" s="23"/>
      <c r="AF100" s="23"/>
      <c r="AG100" s="23"/>
      <c r="AH100" s="23"/>
    </row>
    <row r="101" spans="1:251" x14ac:dyDescent="0.2">
      <c r="A101" s="11">
        <v>6</v>
      </c>
      <c r="B101" s="11" t="s">
        <v>52</v>
      </c>
      <c r="C101" s="11" t="s">
        <v>174</v>
      </c>
      <c r="D101" s="32" t="s">
        <v>62</v>
      </c>
      <c r="E101" s="12" t="s">
        <v>73</v>
      </c>
      <c r="F101" s="11" t="s">
        <v>51</v>
      </c>
      <c r="G101" s="13">
        <v>42716</v>
      </c>
      <c r="I101" s="13">
        <v>43041</v>
      </c>
      <c r="J101" s="14">
        <v>43152</v>
      </c>
      <c r="K101" s="15">
        <v>100</v>
      </c>
      <c r="L101" s="16">
        <f t="shared" si="67"/>
        <v>436</v>
      </c>
      <c r="M101" s="16">
        <v>798</v>
      </c>
      <c r="N101" s="16">
        <v>802</v>
      </c>
      <c r="O101" s="16">
        <v>844</v>
      </c>
      <c r="P101" s="17">
        <f t="shared" si="68"/>
        <v>823</v>
      </c>
      <c r="U101" s="18">
        <v>1330</v>
      </c>
      <c r="V101" s="17">
        <v>1330</v>
      </c>
      <c r="W101" s="19">
        <v>1320</v>
      </c>
      <c r="X101" s="17">
        <f t="shared" si="69"/>
        <v>1325</v>
      </c>
      <c r="Y101" s="20">
        <f t="shared" si="70"/>
        <v>3.0389908256880735</v>
      </c>
      <c r="Z101" s="17">
        <f t="shared" si="71"/>
        <v>502</v>
      </c>
      <c r="AA101" s="20">
        <f t="shared" si="72"/>
        <v>4.4821428571428568</v>
      </c>
      <c r="AB101" s="21">
        <v>54</v>
      </c>
      <c r="AC101" s="22">
        <f t="shared" si="73"/>
        <v>6.6803387200000017</v>
      </c>
      <c r="AD101" s="23">
        <v>14.3065</v>
      </c>
      <c r="AE101" s="24">
        <f t="shared" si="74"/>
        <v>1.0756766917293235</v>
      </c>
      <c r="AF101" s="23">
        <v>0.32636300000000001</v>
      </c>
      <c r="AG101" s="23">
        <v>3.4643600000000001</v>
      </c>
      <c r="AH101" s="23">
        <v>0.44475300000000001</v>
      </c>
      <c r="AI101" s="25">
        <v>37.5</v>
      </c>
      <c r="AJ101" s="26">
        <v>3</v>
      </c>
      <c r="AK101" s="26">
        <v>7</v>
      </c>
      <c r="AL101" s="27">
        <v>15.5</v>
      </c>
      <c r="AM101" s="27">
        <v>13</v>
      </c>
      <c r="AN101" s="27">
        <f t="shared" si="75"/>
        <v>201.5</v>
      </c>
      <c r="AO101" s="28">
        <f>(AA101/4.07)*100</f>
        <v>110.1263601263601</v>
      </c>
      <c r="AP101" s="28">
        <f>(AE101/1.08)*100</f>
        <v>99.59969367864106</v>
      </c>
      <c r="AQ101" s="28">
        <f>(Y101/2.61)*100</f>
        <v>116.43643010299134</v>
      </c>
      <c r="AR101" s="28">
        <f>(AG101/3.55)*100</f>
        <v>97.587605633802823</v>
      </c>
      <c r="AS101" s="28">
        <f>(AI101/38.1)*100</f>
        <v>98.425196850393689</v>
      </c>
      <c r="AT101" s="28">
        <f t="shared" si="76"/>
        <v>105.60517360603444</v>
      </c>
      <c r="AU101" s="11" t="s">
        <v>211</v>
      </c>
      <c r="AV101" s="30"/>
      <c r="AW101" s="30"/>
      <c r="AX101" s="30"/>
      <c r="AY101" s="29"/>
      <c r="AZ101" s="30"/>
      <c r="BA101" s="30"/>
      <c r="BB101" s="29"/>
      <c r="BC101" s="30"/>
      <c r="BD101" s="30"/>
      <c r="BE101" s="30"/>
      <c r="BF101" s="30"/>
      <c r="BG101" s="30"/>
      <c r="BH101" s="29"/>
      <c r="BI101" s="30"/>
      <c r="BJ101" s="30"/>
      <c r="BK101" s="30"/>
      <c r="BL101" s="29"/>
      <c r="BM101" s="30"/>
      <c r="BN101" s="29"/>
      <c r="BO101" s="30"/>
      <c r="BP101" s="30"/>
      <c r="BQ101" s="30"/>
      <c r="BR101" s="30"/>
      <c r="BS101" s="31"/>
      <c r="BT101" s="30"/>
      <c r="BU101" s="30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/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/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/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2"/>
      <c r="FK101" s="32"/>
      <c r="FL101" s="32"/>
      <c r="FM101" s="32"/>
      <c r="FN101" s="32"/>
      <c r="FO101" s="32"/>
      <c r="FP101" s="32"/>
      <c r="FQ101" s="32"/>
      <c r="FR101" s="32"/>
      <c r="FS101" s="32"/>
      <c r="FT101" s="32"/>
      <c r="FU101" s="32"/>
      <c r="FV101" s="32"/>
      <c r="FW101" s="32"/>
      <c r="FX101" s="32"/>
      <c r="FY101" s="32"/>
      <c r="FZ101" s="32"/>
      <c r="GA101" s="32"/>
      <c r="GB101" s="32"/>
      <c r="GC101" s="32"/>
      <c r="GD101" s="32"/>
      <c r="GE101" s="32"/>
      <c r="GF101" s="32"/>
      <c r="GG101" s="32"/>
      <c r="GH101" s="32"/>
      <c r="GI101" s="32"/>
      <c r="GJ101" s="32"/>
      <c r="GK101" s="32"/>
      <c r="GL101" s="32"/>
      <c r="GM101" s="32"/>
      <c r="GN101" s="32"/>
      <c r="GO101" s="32"/>
      <c r="GP101" s="32"/>
      <c r="GQ101" s="32"/>
      <c r="GR101" s="32"/>
      <c r="GS101" s="32"/>
      <c r="GT101" s="32"/>
      <c r="GU101" s="32"/>
      <c r="GV101" s="32"/>
      <c r="GW101" s="32"/>
      <c r="GX101" s="32"/>
      <c r="GY101" s="32"/>
      <c r="GZ101" s="32"/>
      <c r="HA101" s="32"/>
      <c r="HB101" s="32"/>
      <c r="HC101" s="32"/>
      <c r="HD101" s="32"/>
      <c r="HE101" s="32"/>
      <c r="HF101" s="32"/>
      <c r="HG101" s="32"/>
      <c r="HH101" s="32"/>
      <c r="HI101" s="32"/>
      <c r="HJ101" s="32"/>
      <c r="HK101" s="32"/>
      <c r="HL101" s="32"/>
      <c r="HM101" s="32"/>
      <c r="HN101" s="32"/>
      <c r="HO101" s="32"/>
      <c r="HP101" s="32"/>
      <c r="HQ101" s="32"/>
      <c r="HR101" s="32"/>
      <c r="HS101" s="32"/>
      <c r="HT101" s="32"/>
      <c r="HU101" s="32"/>
      <c r="HV101" s="32"/>
      <c r="HW101" s="32"/>
      <c r="HX101" s="32"/>
      <c r="HY101" s="32"/>
      <c r="HZ101" s="32"/>
      <c r="IA101" s="32"/>
      <c r="IB101" s="32"/>
      <c r="IC101" s="32"/>
      <c r="ID101" s="32"/>
      <c r="IE101" s="32"/>
      <c r="IF101" s="32"/>
      <c r="IG101" s="32"/>
      <c r="IH101" s="32"/>
      <c r="II101" s="32"/>
      <c r="IJ101" s="32"/>
      <c r="IK101" s="32"/>
      <c r="IL101" s="32"/>
      <c r="IM101" s="32"/>
      <c r="IN101" s="32"/>
      <c r="IO101" s="32"/>
      <c r="IP101" s="32"/>
      <c r="IQ101" s="32"/>
    </row>
    <row r="102" spans="1:251" x14ac:dyDescent="0.2">
      <c r="A102" s="11">
        <v>3</v>
      </c>
      <c r="B102" s="11" t="s">
        <v>52</v>
      </c>
      <c r="C102" s="11" t="s">
        <v>174</v>
      </c>
      <c r="D102" s="32" t="s">
        <v>62</v>
      </c>
      <c r="E102" s="12" t="s">
        <v>70</v>
      </c>
      <c r="F102" s="11" t="s">
        <v>51</v>
      </c>
      <c r="G102" s="13">
        <v>42644</v>
      </c>
      <c r="I102" s="13">
        <v>43041</v>
      </c>
      <c r="J102" s="14">
        <v>43152</v>
      </c>
      <c r="K102" s="15">
        <v>100</v>
      </c>
      <c r="L102" s="16">
        <f t="shared" si="67"/>
        <v>508</v>
      </c>
      <c r="M102" s="16">
        <v>836</v>
      </c>
      <c r="N102" s="16">
        <v>848</v>
      </c>
      <c r="O102" s="16">
        <v>842</v>
      </c>
      <c r="P102" s="17">
        <f>AVERAGE(N102:N102)</f>
        <v>848</v>
      </c>
      <c r="U102" s="18">
        <v>1320</v>
      </c>
      <c r="V102" s="17">
        <v>1330</v>
      </c>
      <c r="W102" s="19">
        <v>1340</v>
      </c>
      <c r="X102" s="17">
        <f t="shared" si="69"/>
        <v>1335</v>
      </c>
      <c r="Y102" s="20">
        <f t="shared" si="70"/>
        <v>2.627952755905512</v>
      </c>
      <c r="Z102" s="17">
        <f t="shared" si="71"/>
        <v>487</v>
      </c>
      <c r="AA102" s="20">
        <f t="shared" si="72"/>
        <v>4.3482142857142856</v>
      </c>
      <c r="AB102" s="21">
        <v>52</v>
      </c>
      <c r="AC102" s="22">
        <f t="shared" si="73"/>
        <v>5.0432004800000021</v>
      </c>
      <c r="AD102" s="23">
        <v>13.195600000000001</v>
      </c>
      <c r="AE102" s="24">
        <f t="shared" si="74"/>
        <v>0.9996666666666667</v>
      </c>
      <c r="AF102" s="23">
        <v>0.168097</v>
      </c>
      <c r="AG102" s="23">
        <v>3.6923300000000001</v>
      </c>
      <c r="AH102" s="23">
        <v>0.26641399999999998</v>
      </c>
      <c r="AI102" s="25">
        <v>44</v>
      </c>
      <c r="AJ102" s="26">
        <v>3</v>
      </c>
      <c r="AK102" s="26">
        <v>7</v>
      </c>
      <c r="AL102" s="27">
        <v>16</v>
      </c>
      <c r="AM102" s="27">
        <v>13</v>
      </c>
      <c r="AN102" s="27">
        <f t="shared" si="75"/>
        <v>208</v>
      </c>
      <c r="AO102" s="28">
        <f t="shared" ref="AO102:AO105" si="83">(AA102/4.07)*100</f>
        <v>106.83573183573183</v>
      </c>
      <c r="AP102" s="28">
        <f t="shared" ref="AP102:AP105" si="84">(AE102/1.08)*100</f>
        <v>92.561728395061721</v>
      </c>
      <c r="AQ102" s="28">
        <f t="shared" ref="AQ102:AQ105" si="85">(Y102/2.61)*100</f>
        <v>100.68784505385105</v>
      </c>
      <c r="AR102" s="28">
        <f t="shared" ref="AR102:AR105" si="86">(AG102/3.55)*100</f>
        <v>104.00929577464791</v>
      </c>
      <c r="AS102" s="28">
        <f t="shared" ref="AS102:AS105" si="87">(AI102/38.1)*100</f>
        <v>115.48556430446193</v>
      </c>
      <c r="AT102" s="28">
        <f t="shared" si="76"/>
        <v>103.05104982587788</v>
      </c>
      <c r="AV102" s="30"/>
      <c r="AW102" s="30"/>
      <c r="AX102" s="30"/>
      <c r="AY102" s="29"/>
      <c r="AZ102" s="30"/>
      <c r="BA102" s="30"/>
      <c r="BC102" s="30"/>
      <c r="BD102" s="30"/>
      <c r="BE102" s="30"/>
      <c r="BF102" s="30"/>
      <c r="BG102" s="30"/>
      <c r="BH102" s="29"/>
      <c r="BI102" s="30"/>
      <c r="BJ102" s="30"/>
      <c r="BK102" s="30"/>
      <c r="BL102" s="29"/>
      <c r="BM102" s="30"/>
      <c r="BN102" s="29"/>
      <c r="BO102" s="30"/>
      <c r="BP102" s="30"/>
      <c r="BQ102" s="30"/>
      <c r="BR102" s="30"/>
      <c r="BS102" s="31"/>
      <c r="BT102" s="30"/>
      <c r="BU102" s="30"/>
    </row>
    <row r="103" spans="1:251" x14ac:dyDescent="0.2">
      <c r="A103" s="11">
        <v>25</v>
      </c>
      <c r="B103" s="11" t="s">
        <v>52</v>
      </c>
      <c r="C103" s="11" t="s">
        <v>174</v>
      </c>
      <c r="D103" s="32" t="s">
        <v>88</v>
      </c>
      <c r="E103" s="33">
        <v>165</v>
      </c>
      <c r="F103" s="11" t="s">
        <v>51</v>
      </c>
      <c r="G103" s="13">
        <v>42643</v>
      </c>
      <c r="I103" s="13">
        <v>43041</v>
      </c>
      <c r="J103" s="14">
        <v>43152</v>
      </c>
      <c r="K103" s="15">
        <v>105</v>
      </c>
      <c r="L103" s="16">
        <f t="shared" si="67"/>
        <v>509</v>
      </c>
      <c r="M103" s="16">
        <v>762</v>
      </c>
      <c r="N103" s="16">
        <v>792</v>
      </c>
      <c r="O103" s="16">
        <v>818</v>
      </c>
      <c r="P103" s="17">
        <f t="shared" ref="P103:P140" si="88">AVERAGE(N103:O103)</f>
        <v>805</v>
      </c>
      <c r="U103" s="18">
        <v>1260</v>
      </c>
      <c r="V103" s="17">
        <v>1265</v>
      </c>
      <c r="W103" s="17">
        <v>1275</v>
      </c>
      <c r="X103" s="17">
        <f t="shared" si="69"/>
        <v>1270</v>
      </c>
      <c r="Y103" s="20">
        <f t="shared" si="70"/>
        <v>2.495088408644401</v>
      </c>
      <c r="Z103" s="17">
        <f t="shared" si="71"/>
        <v>465</v>
      </c>
      <c r="AA103" s="20">
        <f t="shared" si="72"/>
        <v>4.1517857142857144</v>
      </c>
      <c r="AB103" s="21">
        <v>55</v>
      </c>
      <c r="AC103" s="22">
        <f t="shared" si="73"/>
        <v>6.5502400700000019</v>
      </c>
      <c r="AD103" s="23">
        <v>14.5007</v>
      </c>
      <c r="AE103" s="24">
        <f t="shared" si="74"/>
        <v>1.1508492063492064</v>
      </c>
      <c r="AF103" s="23">
        <v>0.241647</v>
      </c>
      <c r="AG103" s="23">
        <v>3.1951299999999998</v>
      </c>
      <c r="AH103" s="23">
        <v>0.28404600000000002</v>
      </c>
      <c r="AI103" s="25">
        <v>39</v>
      </c>
      <c r="AJ103" s="26">
        <v>3</v>
      </c>
      <c r="AK103" s="26">
        <v>7</v>
      </c>
      <c r="AL103" s="27">
        <v>15</v>
      </c>
      <c r="AM103" s="27">
        <v>12</v>
      </c>
      <c r="AN103" s="27">
        <f t="shared" si="75"/>
        <v>180</v>
      </c>
      <c r="AO103" s="28">
        <f t="shared" si="83"/>
        <v>102.009477009477</v>
      </c>
      <c r="AP103" s="28">
        <f t="shared" si="84"/>
        <v>106.56011169900059</v>
      </c>
      <c r="AQ103" s="28">
        <f t="shared" si="85"/>
        <v>95.597257036183947</v>
      </c>
      <c r="AR103" s="28">
        <f t="shared" si="86"/>
        <v>90.003661971830979</v>
      </c>
      <c r="AS103" s="28">
        <f t="shared" si="87"/>
        <v>102.36220472440945</v>
      </c>
      <c r="AT103" s="28">
        <f t="shared" si="76"/>
        <v>99.271269716687158</v>
      </c>
      <c r="AV103" s="30"/>
      <c r="AW103" s="30"/>
      <c r="AX103" s="30"/>
      <c r="AY103" s="29"/>
      <c r="AZ103" s="30"/>
      <c r="BA103" s="30"/>
      <c r="BC103" s="30"/>
      <c r="BD103" s="30"/>
      <c r="BE103" s="30"/>
      <c r="BF103" s="30"/>
      <c r="BG103" s="30"/>
      <c r="BH103" s="29"/>
      <c r="BI103" s="30"/>
      <c r="BJ103" s="30"/>
      <c r="BK103" s="30"/>
      <c r="BL103" s="29"/>
      <c r="BM103" s="30"/>
      <c r="BN103" s="29"/>
      <c r="BO103" s="30"/>
      <c r="BP103" s="30"/>
      <c r="BQ103" s="30"/>
      <c r="BR103" s="30"/>
      <c r="BS103" s="31"/>
      <c r="BT103" s="30"/>
      <c r="BU103" s="30"/>
    </row>
    <row r="104" spans="1:251" x14ac:dyDescent="0.2">
      <c r="A104" s="11">
        <v>8</v>
      </c>
      <c r="B104" s="11" t="s">
        <v>52</v>
      </c>
      <c r="C104" s="11" t="s">
        <v>174</v>
      </c>
      <c r="D104" s="32" t="s">
        <v>62</v>
      </c>
      <c r="E104" s="12" t="s">
        <v>74</v>
      </c>
      <c r="F104" s="11" t="s">
        <v>51</v>
      </c>
      <c r="G104" s="13">
        <v>42668</v>
      </c>
      <c r="I104" s="13">
        <v>43041</v>
      </c>
      <c r="J104" s="14">
        <v>43152</v>
      </c>
      <c r="K104" s="15">
        <v>100</v>
      </c>
      <c r="L104" s="16">
        <f t="shared" si="67"/>
        <v>484</v>
      </c>
      <c r="M104" s="16">
        <v>762</v>
      </c>
      <c r="N104" s="16">
        <v>724</v>
      </c>
      <c r="O104" s="16">
        <v>736</v>
      </c>
      <c r="P104" s="17">
        <f t="shared" si="88"/>
        <v>730</v>
      </c>
      <c r="U104" s="18">
        <v>1220</v>
      </c>
      <c r="V104" s="17">
        <v>1200</v>
      </c>
      <c r="W104" s="19">
        <v>1200</v>
      </c>
      <c r="X104" s="17">
        <f t="shared" si="69"/>
        <v>1200</v>
      </c>
      <c r="Y104" s="20">
        <f t="shared" si="70"/>
        <v>2.4793388429752068</v>
      </c>
      <c r="Z104" s="17">
        <f t="shared" si="71"/>
        <v>470</v>
      </c>
      <c r="AA104" s="20">
        <f t="shared" si="72"/>
        <v>4.1964285714285712</v>
      </c>
      <c r="AB104" s="21">
        <v>55.5</v>
      </c>
      <c r="AC104" s="22">
        <f t="shared" si="73"/>
        <v>6.9954551200000017</v>
      </c>
      <c r="AD104" s="23">
        <v>13.542999999999999</v>
      </c>
      <c r="AE104" s="24">
        <f t="shared" si="74"/>
        <v>1.1100819672131148</v>
      </c>
      <c r="AF104" s="23">
        <v>0.17022699999999999</v>
      </c>
      <c r="AG104" s="23">
        <v>3.1591999999999998</v>
      </c>
      <c r="AH104" s="23">
        <v>0.195997</v>
      </c>
      <c r="AI104" s="25">
        <v>34</v>
      </c>
      <c r="AJ104" s="26">
        <v>3</v>
      </c>
      <c r="AK104" s="26">
        <v>7</v>
      </c>
      <c r="AL104" s="27">
        <v>15</v>
      </c>
      <c r="AM104" s="27">
        <v>13</v>
      </c>
      <c r="AN104" s="27">
        <f t="shared" si="75"/>
        <v>195</v>
      </c>
      <c r="AO104" s="28">
        <f t="shared" si="83"/>
        <v>103.1063531063531</v>
      </c>
      <c r="AP104" s="28">
        <f t="shared" si="84"/>
        <v>102.78536733454766</v>
      </c>
      <c r="AQ104" s="28">
        <f t="shared" si="85"/>
        <v>94.993825401348914</v>
      </c>
      <c r="AR104" s="28">
        <f t="shared" si="86"/>
        <v>88.991549295774647</v>
      </c>
      <c r="AS104" s="28">
        <f t="shared" si="87"/>
        <v>89.238845144356944</v>
      </c>
      <c r="AT104" s="28">
        <f t="shared" si="76"/>
        <v>97.209938852675876</v>
      </c>
      <c r="AV104" s="30"/>
      <c r="AW104" s="30"/>
      <c r="AX104" s="30"/>
      <c r="AY104" s="29"/>
      <c r="AZ104" s="30"/>
      <c r="BA104" s="30"/>
      <c r="BB104" s="29"/>
      <c r="BC104" s="30"/>
      <c r="BD104" s="30"/>
      <c r="BE104" s="30"/>
      <c r="BF104" s="30"/>
      <c r="BG104" s="30"/>
      <c r="BH104" s="29"/>
      <c r="BI104" s="30"/>
      <c r="BJ104" s="30"/>
      <c r="BK104" s="30"/>
      <c r="BL104" s="29"/>
      <c r="BM104" s="30"/>
      <c r="BN104" s="29"/>
      <c r="BO104" s="30"/>
      <c r="BP104" s="30"/>
      <c r="BQ104" s="30"/>
      <c r="BR104" s="30"/>
      <c r="BS104" s="31"/>
      <c r="BT104" s="30"/>
      <c r="BU104" s="30"/>
    </row>
    <row r="105" spans="1:251" ht="15.75" x14ac:dyDescent="0.25">
      <c r="A105" s="11">
        <v>24</v>
      </c>
      <c r="B105" s="11" t="s">
        <v>52</v>
      </c>
      <c r="C105" s="11" t="s">
        <v>174</v>
      </c>
      <c r="D105" s="32" t="s">
        <v>88</v>
      </c>
      <c r="E105" s="33">
        <v>1610</v>
      </c>
      <c r="F105" s="11" t="s">
        <v>51</v>
      </c>
      <c r="G105" s="13">
        <v>42671</v>
      </c>
      <c r="I105" s="13">
        <v>43041</v>
      </c>
      <c r="J105" s="14">
        <v>43152</v>
      </c>
      <c r="K105" s="15">
        <v>105</v>
      </c>
      <c r="L105" s="16">
        <f t="shared" si="67"/>
        <v>481</v>
      </c>
      <c r="M105" s="16">
        <v>782</v>
      </c>
      <c r="N105" s="16">
        <v>820</v>
      </c>
      <c r="O105" s="16">
        <v>804</v>
      </c>
      <c r="P105" s="17">
        <f t="shared" si="88"/>
        <v>812</v>
      </c>
      <c r="U105" s="18">
        <v>1165</v>
      </c>
      <c r="V105" s="17">
        <v>1180</v>
      </c>
      <c r="W105" s="17">
        <v>1150</v>
      </c>
      <c r="X105" s="17">
        <f t="shared" si="69"/>
        <v>1165</v>
      </c>
      <c r="Y105" s="20">
        <f t="shared" si="70"/>
        <v>2.4220374220374219</v>
      </c>
      <c r="Z105" s="17">
        <f t="shared" si="71"/>
        <v>353</v>
      </c>
      <c r="AA105" s="20">
        <f t="shared" si="72"/>
        <v>3.1517857142857144</v>
      </c>
      <c r="AB105" s="21">
        <v>55</v>
      </c>
      <c r="AC105" s="22">
        <f t="shared" si="73"/>
        <v>6.7682956700000005</v>
      </c>
      <c r="AD105" s="23">
        <v>12.59</v>
      </c>
      <c r="AE105" s="24">
        <f t="shared" si="74"/>
        <v>1.08068669527897</v>
      </c>
      <c r="AF105" s="23">
        <v>0.188</v>
      </c>
      <c r="AG105" s="23">
        <v>4.26</v>
      </c>
      <c r="AH105" s="23">
        <v>0.28299999999999997</v>
      </c>
      <c r="AI105" s="25">
        <v>36</v>
      </c>
      <c r="AJ105" s="26">
        <v>2</v>
      </c>
      <c r="AK105" s="26">
        <v>6</v>
      </c>
      <c r="AL105" s="27">
        <v>16</v>
      </c>
      <c r="AM105" s="27">
        <v>12</v>
      </c>
      <c r="AN105" s="27">
        <f t="shared" si="75"/>
        <v>192</v>
      </c>
      <c r="AO105" s="28">
        <f t="shared" si="83"/>
        <v>77.439452439452438</v>
      </c>
      <c r="AP105" s="28">
        <f t="shared" si="84"/>
        <v>100.06358289620093</v>
      </c>
      <c r="AQ105" s="28">
        <f t="shared" si="85"/>
        <v>92.798368660437632</v>
      </c>
      <c r="AR105" s="28">
        <f t="shared" si="86"/>
        <v>120</v>
      </c>
      <c r="AS105" s="28">
        <f t="shared" si="87"/>
        <v>94.488188976377955</v>
      </c>
      <c r="AT105" s="28">
        <f t="shared" si="76"/>
        <v>95.253044940801246</v>
      </c>
      <c r="AU105" s="35"/>
      <c r="AV105" s="30"/>
      <c r="AW105" s="30"/>
      <c r="AX105" s="30"/>
      <c r="AY105" s="29"/>
      <c r="AZ105" s="30"/>
      <c r="BA105" s="30"/>
      <c r="BC105" s="30"/>
      <c r="BD105" s="30"/>
      <c r="BE105" s="30"/>
      <c r="BF105" s="30"/>
      <c r="BG105" s="30"/>
      <c r="BH105" s="29"/>
      <c r="BI105" s="30"/>
      <c r="BJ105" s="30"/>
      <c r="BK105" s="30"/>
      <c r="BL105" s="29"/>
      <c r="BM105" s="30"/>
      <c r="BN105" s="29"/>
      <c r="BO105" s="30"/>
      <c r="BP105" s="30"/>
      <c r="BQ105" s="30"/>
      <c r="BR105" s="30"/>
      <c r="BS105" s="31"/>
      <c r="BT105" s="30"/>
      <c r="BU105" s="30"/>
    </row>
    <row r="106" spans="1:251" s="35" customFormat="1" ht="15.75" x14ac:dyDescent="0.25">
      <c r="D106" s="49" t="s">
        <v>184</v>
      </c>
      <c r="E106" s="78"/>
      <c r="G106" s="51"/>
      <c r="H106" s="51"/>
      <c r="I106" s="51"/>
      <c r="J106" s="52"/>
      <c r="K106" s="53"/>
      <c r="L106" s="54"/>
      <c r="M106" s="54"/>
      <c r="N106" s="54"/>
      <c r="O106" s="54"/>
      <c r="P106" s="59"/>
      <c r="Q106" s="59"/>
      <c r="R106" s="59"/>
      <c r="S106" s="59"/>
      <c r="T106" s="59"/>
      <c r="U106" s="67"/>
      <c r="V106" s="59"/>
      <c r="W106" s="59"/>
      <c r="X106" s="59"/>
      <c r="Y106" s="65">
        <f>AVERAGE(Y101:Y105)</f>
        <v>2.612681651050123</v>
      </c>
      <c r="Z106" s="59"/>
      <c r="AA106" s="65">
        <f>AVERAGE(AA101:AA105)</f>
        <v>4.066071428571429</v>
      </c>
      <c r="AB106" s="69"/>
      <c r="AC106" s="61"/>
      <c r="AD106" s="66"/>
      <c r="AE106" s="65">
        <f>AVERAGE(AE101:AE105)</f>
        <v>1.0833922454474565</v>
      </c>
      <c r="AF106" s="66"/>
      <c r="AG106" s="65">
        <f>AVERAGE(AG101:AG105)</f>
        <v>3.5542039999999999</v>
      </c>
      <c r="AH106" s="66"/>
      <c r="AI106" s="65">
        <f>AVERAGE(AI101:AI105)</f>
        <v>38.1</v>
      </c>
      <c r="AJ106" s="70"/>
      <c r="AK106" s="70"/>
      <c r="AL106" s="71"/>
      <c r="AM106" s="71"/>
      <c r="AN106" s="71"/>
      <c r="AO106" s="65">
        <f t="shared" ref="AO106:AT106" si="89">AVERAGE(AO101:AO105)</f>
        <v>99.903474903474887</v>
      </c>
      <c r="AP106" s="65">
        <f t="shared" si="89"/>
        <v>100.31409680069039</v>
      </c>
      <c r="AQ106" s="65">
        <f t="shared" si="89"/>
        <v>100.10274525096256</v>
      </c>
      <c r="AR106" s="65">
        <f t="shared" si="89"/>
        <v>100.11842253521127</v>
      </c>
      <c r="AS106" s="65">
        <f t="shared" si="89"/>
        <v>99.999999999999986</v>
      </c>
      <c r="AT106" s="65">
        <f t="shared" si="89"/>
        <v>100.07809538841533</v>
      </c>
      <c r="AV106" s="73"/>
      <c r="AW106" s="73"/>
      <c r="AX106" s="73"/>
      <c r="AY106" s="72"/>
      <c r="AZ106" s="73"/>
      <c r="BA106" s="73"/>
      <c r="BB106" s="54"/>
      <c r="BC106" s="73"/>
      <c r="BD106" s="73"/>
      <c r="BE106" s="73"/>
      <c r="BF106" s="73"/>
      <c r="BG106" s="73"/>
      <c r="BH106" s="72"/>
      <c r="BI106" s="73"/>
      <c r="BJ106" s="73"/>
      <c r="BK106" s="73"/>
      <c r="BL106" s="72"/>
      <c r="BM106" s="73"/>
      <c r="BN106" s="72"/>
      <c r="BO106" s="73"/>
      <c r="BP106" s="73"/>
      <c r="BQ106" s="73"/>
      <c r="BR106" s="73"/>
      <c r="BS106" s="74"/>
      <c r="BT106" s="73"/>
      <c r="BU106" s="73"/>
    </row>
    <row r="107" spans="1:251" ht="15.75" x14ac:dyDescent="0.25">
      <c r="D107" s="32"/>
      <c r="E107" s="33"/>
      <c r="J107" s="14"/>
      <c r="M107" s="16"/>
      <c r="U107" s="18"/>
      <c r="AD107" s="23"/>
      <c r="AF107" s="23"/>
      <c r="AG107" s="23"/>
      <c r="AH107" s="23"/>
      <c r="AU107" s="35"/>
      <c r="AV107" s="30"/>
      <c r="AW107" s="30"/>
      <c r="AX107" s="30"/>
      <c r="AY107" s="29"/>
      <c r="AZ107" s="30"/>
      <c r="BA107" s="30"/>
      <c r="BC107" s="30"/>
      <c r="BD107" s="30"/>
      <c r="BE107" s="30"/>
      <c r="BF107" s="30"/>
      <c r="BG107" s="30"/>
      <c r="BH107" s="29"/>
      <c r="BI107" s="30"/>
      <c r="BJ107" s="30"/>
      <c r="BK107" s="30"/>
      <c r="BL107" s="29"/>
      <c r="BM107" s="30"/>
      <c r="BN107" s="29"/>
      <c r="BO107" s="30"/>
      <c r="BP107" s="30"/>
      <c r="BQ107" s="30"/>
      <c r="BR107" s="30"/>
      <c r="BS107" s="31"/>
      <c r="BT107" s="30"/>
      <c r="BU107" s="30"/>
    </row>
    <row r="108" spans="1:251" s="32" customFormat="1" x14ac:dyDescent="0.2">
      <c r="A108" s="11">
        <v>7</v>
      </c>
      <c r="B108" s="11" t="s">
        <v>52</v>
      </c>
      <c r="C108" s="11" t="s">
        <v>174</v>
      </c>
      <c r="D108" s="32" t="s">
        <v>62</v>
      </c>
      <c r="E108" s="12" t="s">
        <v>167</v>
      </c>
      <c r="F108" s="11" t="s">
        <v>51</v>
      </c>
      <c r="G108" s="13">
        <v>42711</v>
      </c>
      <c r="H108" s="13"/>
      <c r="I108" s="13">
        <v>43041</v>
      </c>
      <c r="J108" s="14">
        <v>43152</v>
      </c>
      <c r="K108" s="15">
        <v>100</v>
      </c>
      <c r="L108" s="16">
        <f t="shared" si="67"/>
        <v>441</v>
      </c>
      <c r="M108" s="16">
        <v>712</v>
      </c>
      <c r="N108" s="11">
        <v>710</v>
      </c>
      <c r="O108" s="16">
        <v>696</v>
      </c>
      <c r="P108" s="17">
        <f t="shared" si="88"/>
        <v>703</v>
      </c>
      <c r="Q108" s="17"/>
      <c r="R108" s="17"/>
      <c r="S108" s="17"/>
      <c r="T108" s="17"/>
      <c r="U108" s="18"/>
      <c r="V108" s="15"/>
      <c r="W108" s="19"/>
      <c r="X108" s="17"/>
      <c r="Y108" s="20"/>
      <c r="Z108" s="17"/>
      <c r="AA108" s="20"/>
      <c r="AB108" s="21"/>
      <c r="AC108" s="22"/>
      <c r="AD108" s="23"/>
      <c r="AE108" s="24"/>
      <c r="AF108" s="23"/>
      <c r="AG108" s="23"/>
      <c r="AH108" s="23"/>
      <c r="AI108" s="25"/>
      <c r="AJ108" s="26"/>
      <c r="AK108" s="26"/>
      <c r="AL108" s="27"/>
      <c r="AM108" s="27"/>
      <c r="AN108" s="27"/>
      <c r="AO108" s="28"/>
      <c r="AP108" s="28"/>
      <c r="AQ108" s="28"/>
      <c r="AR108" s="28"/>
      <c r="AS108" s="28"/>
      <c r="AT108" s="28"/>
      <c r="AU108" s="11" t="s">
        <v>179</v>
      </c>
      <c r="AV108" s="30"/>
      <c r="AW108" s="30"/>
      <c r="AX108" s="30"/>
      <c r="AY108" s="29"/>
      <c r="AZ108" s="30"/>
      <c r="BA108" s="30"/>
      <c r="BB108" s="16"/>
      <c r="BC108" s="30"/>
      <c r="BD108" s="30"/>
      <c r="BE108" s="30"/>
      <c r="BF108" s="30"/>
      <c r="BG108" s="30"/>
      <c r="BH108" s="29"/>
      <c r="BI108" s="30"/>
      <c r="BJ108" s="30"/>
      <c r="BK108" s="30"/>
      <c r="BL108" s="29"/>
      <c r="BM108" s="30"/>
      <c r="BN108" s="29"/>
      <c r="BO108" s="30"/>
      <c r="BP108" s="30"/>
      <c r="BQ108" s="30"/>
      <c r="BR108" s="30"/>
      <c r="BS108" s="31"/>
      <c r="BT108" s="30"/>
      <c r="BU108" s="30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  <c r="II108" s="11"/>
      <c r="IJ108" s="11"/>
      <c r="IK108" s="11"/>
      <c r="IL108" s="11"/>
      <c r="IM108" s="11"/>
      <c r="IN108" s="11"/>
      <c r="IO108" s="11"/>
      <c r="IP108" s="11"/>
      <c r="IQ108" s="11"/>
    </row>
    <row r="109" spans="1:251" s="32" customFormat="1" x14ac:dyDescent="0.2">
      <c r="A109" s="11"/>
      <c r="B109" s="11"/>
      <c r="C109" s="11"/>
      <c r="E109" s="12"/>
      <c r="F109" s="11"/>
      <c r="G109" s="13"/>
      <c r="H109" s="13"/>
      <c r="I109" s="13"/>
      <c r="J109" s="14"/>
      <c r="K109" s="15"/>
      <c r="L109" s="16"/>
      <c r="M109" s="16"/>
      <c r="N109" s="11"/>
      <c r="O109" s="16"/>
      <c r="P109" s="17"/>
      <c r="Q109" s="17"/>
      <c r="R109" s="17"/>
      <c r="S109" s="17"/>
      <c r="T109" s="17"/>
      <c r="U109" s="18"/>
      <c r="V109" s="15"/>
      <c r="W109" s="19"/>
      <c r="X109" s="17"/>
      <c r="Y109" s="20"/>
      <c r="Z109" s="17"/>
      <c r="AA109" s="20"/>
      <c r="AB109" s="21"/>
      <c r="AC109" s="22"/>
      <c r="AD109" s="23"/>
      <c r="AE109" s="24"/>
      <c r="AF109" s="23"/>
      <c r="AG109" s="23"/>
      <c r="AH109" s="23"/>
      <c r="AI109" s="25"/>
      <c r="AJ109" s="26"/>
      <c r="AK109" s="26"/>
      <c r="AL109" s="27"/>
      <c r="AM109" s="27"/>
      <c r="AN109" s="27"/>
      <c r="AO109" s="28"/>
      <c r="AP109" s="28"/>
      <c r="AQ109" s="28"/>
      <c r="AR109" s="28"/>
      <c r="AS109" s="28"/>
      <c r="AT109" s="28"/>
      <c r="AU109" s="11"/>
      <c r="AV109" s="30"/>
      <c r="AW109" s="30"/>
      <c r="AX109" s="30"/>
      <c r="AY109" s="29"/>
      <c r="AZ109" s="30"/>
      <c r="BA109" s="30"/>
      <c r="BB109" s="16"/>
      <c r="BC109" s="30"/>
      <c r="BD109" s="30"/>
      <c r="BE109" s="30"/>
      <c r="BF109" s="30"/>
      <c r="BG109" s="30"/>
      <c r="BH109" s="29"/>
      <c r="BI109" s="30"/>
      <c r="BJ109" s="30"/>
      <c r="BK109" s="30"/>
      <c r="BL109" s="29"/>
      <c r="BM109" s="30"/>
      <c r="BN109" s="29"/>
      <c r="BO109" s="30"/>
      <c r="BP109" s="30"/>
      <c r="BQ109" s="30"/>
      <c r="BR109" s="30"/>
      <c r="BS109" s="31"/>
      <c r="BT109" s="30"/>
      <c r="BU109" s="30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  <c r="IP109" s="11"/>
      <c r="IQ109" s="11"/>
    </row>
    <row r="110" spans="1:251" s="32" customFormat="1" x14ac:dyDescent="0.2">
      <c r="A110" s="11"/>
      <c r="B110" s="11"/>
      <c r="C110" s="11"/>
      <c r="E110" s="12"/>
      <c r="F110" s="11"/>
      <c r="G110" s="13"/>
      <c r="H110" s="13"/>
      <c r="I110" s="13"/>
      <c r="J110" s="14"/>
      <c r="K110" s="15"/>
      <c r="L110" s="16"/>
      <c r="M110" s="16"/>
      <c r="N110" s="11"/>
      <c r="O110" s="16"/>
      <c r="P110" s="17"/>
      <c r="Q110" s="17"/>
      <c r="R110" s="17"/>
      <c r="S110" s="17"/>
      <c r="T110" s="17"/>
      <c r="U110" s="18"/>
      <c r="V110" s="15"/>
      <c r="W110" s="19"/>
      <c r="X110" s="17"/>
      <c r="Y110" s="20"/>
      <c r="Z110" s="17"/>
      <c r="AA110" s="20"/>
      <c r="AB110" s="21"/>
      <c r="AC110" s="22"/>
      <c r="AD110" s="23"/>
      <c r="AE110" s="24"/>
      <c r="AF110" s="23"/>
      <c r="AG110" s="23"/>
      <c r="AH110" s="23"/>
      <c r="AI110" s="25"/>
      <c r="AJ110" s="26"/>
      <c r="AK110" s="26"/>
      <c r="AL110" s="27"/>
      <c r="AM110" s="27"/>
      <c r="AN110" s="27"/>
      <c r="AO110" s="28"/>
      <c r="AP110" s="28"/>
      <c r="AQ110" s="28"/>
      <c r="AR110" s="28"/>
      <c r="AS110" s="28"/>
      <c r="AT110" s="28"/>
      <c r="AU110" s="11"/>
      <c r="AV110" s="30"/>
      <c r="AW110" s="30"/>
      <c r="AX110" s="30"/>
      <c r="AY110" s="29"/>
      <c r="AZ110" s="30"/>
      <c r="BA110" s="30"/>
      <c r="BB110" s="16"/>
      <c r="BC110" s="30"/>
      <c r="BD110" s="30"/>
      <c r="BE110" s="30"/>
      <c r="BF110" s="30"/>
      <c r="BG110" s="30"/>
      <c r="BH110" s="29"/>
      <c r="BI110" s="30"/>
      <c r="BJ110" s="30"/>
      <c r="BK110" s="30"/>
      <c r="BL110" s="29"/>
      <c r="BM110" s="30"/>
      <c r="BN110" s="29"/>
      <c r="BO110" s="30"/>
      <c r="BP110" s="30"/>
      <c r="BQ110" s="30"/>
      <c r="BR110" s="30"/>
      <c r="BS110" s="31"/>
      <c r="BT110" s="30"/>
      <c r="BU110" s="30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 s="11"/>
      <c r="IJ110" s="11"/>
      <c r="IK110" s="11"/>
      <c r="IL110" s="11"/>
      <c r="IM110" s="11"/>
      <c r="IN110" s="11"/>
      <c r="IO110" s="11"/>
      <c r="IP110" s="11"/>
      <c r="IQ110" s="11"/>
    </row>
    <row r="111" spans="1:251" x14ac:dyDescent="0.2">
      <c r="A111" s="11">
        <v>89</v>
      </c>
      <c r="B111" s="11" t="s">
        <v>52</v>
      </c>
      <c r="C111" s="11" t="s">
        <v>174</v>
      </c>
      <c r="D111" s="45" t="s">
        <v>155</v>
      </c>
      <c r="E111" s="12" t="s">
        <v>161</v>
      </c>
      <c r="F111" s="11" t="s">
        <v>59</v>
      </c>
      <c r="G111" s="13">
        <v>42616</v>
      </c>
      <c r="I111" s="13">
        <v>43041</v>
      </c>
      <c r="J111" s="14">
        <v>43152</v>
      </c>
      <c r="K111" s="15">
        <v>120</v>
      </c>
      <c r="L111" s="16">
        <f t="shared" si="67"/>
        <v>536</v>
      </c>
      <c r="M111" s="16">
        <v>946</v>
      </c>
      <c r="N111" s="16">
        <v>966</v>
      </c>
      <c r="O111" s="16">
        <v>980</v>
      </c>
      <c r="P111" s="17">
        <f t="shared" si="88"/>
        <v>973</v>
      </c>
      <c r="U111" s="18">
        <v>1510</v>
      </c>
      <c r="V111" s="17">
        <v>1530</v>
      </c>
      <c r="W111" s="19">
        <v>1475</v>
      </c>
      <c r="X111" s="17">
        <f t="shared" ref="X111:X140" si="90">(V111+W111)/2</f>
        <v>1502.5</v>
      </c>
      <c r="Y111" s="20">
        <f t="shared" ref="Y111:Y140" si="91">(X111/L111)</f>
        <v>2.8031716417910446</v>
      </c>
      <c r="Z111" s="17">
        <f t="shared" ref="Z111:Z140" si="92">(X111-P111)</f>
        <v>529.5</v>
      </c>
      <c r="AA111" s="20">
        <f t="shared" ref="AA111:AA140" si="93">(Z111/112)</f>
        <v>4.7276785714285712</v>
      </c>
      <c r="AB111" s="21">
        <v>56</v>
      </c>
      <c r="AC111" s="22">
        <f t="shared" ref="AC111:AC140" si="94">-11.548+0.4878*(AB111)-0.0289*(L111)+0.00001947*(L111*L111)+0.0000334*(AB111*L111)</f>
        <v>6.8745875200000022</v>
      </c>
      <c r="AD111" s="23">
        <v>15.3856</v>
      </c>
      <c r="AE111" s="24">
        <f t="shared" ref="AE111:AE140" si="95">AD111/U111*100</f>
        <v>1.0189139072847682</v>
      </c>
      <c r="AF111" s="23">
        <v>0.15698100000000001</v>
      </c>
      <c r="AG111" s="23">
        <v>3.6612399999999998</v>
      </c>
      <c r="AH111" s="23">
        <v>0.24879100000000001</v>
      </c>
      <c r="AI111" s="25">
        <v>38.5</v>
      </c>
      <c r="AJ111" s="26">
        <v>2</v>
      </c>
      <c r="AK111" s="26">
        <v>6</v>
      </c>
      <c r="AL111" s="27">
        <v>16.5</v>
      </c>
      <c r="AM111" s="27">
        <v>13</v>
      </c>
      <c r="AN111" s="27">
        <f t="shared" ref="AN111:AN140" si="96">(AL111*AM111)</f>
        <v>214.5</v>
      </c>
      <c r="AO111" s="28">
        <f>(AA111/3.6)*100</f>
        <v>131.32440476190476</v>
      </c>
      <c r="AP111" s="28">
        <f t="shared" ref="AP111:AP128" si="97">(AE111/1.1)*100</f>
        <v>92.628537025888008</v>
      </c>
      <c r="AQ111" s="28">
        <f>(Y111/2.74)*100</f>
        <v>102.30553437193592</v>
      </c>
      <c r="AR111" s="28">
        <f t="shared" ref="AR111:AR128" si="98">(AG111/3.56)*100</f>
        <v>102.8438202247191</v>
      </c>
      <c r="AS111" s="28">
        <f>(AI111/41.5)*100</f>
        <v>92.771084337349393</v>
      </c>
      <c r="AT111" s="28">
        <f t="shared" ref="AT111:AT140" si="99">(AO111*0.3)+(AP111*0.2)+(AQ111*0.2)+(AR111*0.2)+(AS111*0.1)</f>
        <v>108.23000818681497</v>
      </c>
      <c r="AU111" s="11" t="s">
        <v>212</v>
      </c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/>
      <c r="DY111" s="32"/>
      <c r="DZ111" s="32"/>
      <c r="EA111" s="32"/>
      <c r="EB111" s="32"/>
      <c r="EC111" s="32"/>
      <c r="ED111" s="32"/>
      <c r="EE111" s="32"/>
      <c r="EF111" s="32"/>
      <c r="EG111" s="32"/>
      <c r="EH111" s="32"/>
      <c r="EI111" s="32"/>
      <c r="EJ111" s="32"/>
      <c r="EK111" s="32"/>
      <c r="EL111" s="32"/>
      <c r="EM111" s="32"/>
      <c r="EN111" s="32"/>
      <c r="EO111" s="32"/>
      <c r="EP111" s="32"/>
      <c r="EQ111" s="32"/>
      <c r="ER111" s="32"/>
      <c r="ES111" s="32"/>
      <c r="ET111" s="32"/>
      <c r="EU111" s="32"/>
      <c r="EV111" s="32"/>
      <c r="EW111" s="32"/>
      <c r="EX111" s="32"/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2"/>
      <c r="FK111" s="32"/>
      <c r="FL111" s="32"/>
      <c r="FM111" s="32"/>
      <c r="FN111" s="32"/>
      <c r="FO111" s="32"/>
      <c r="FP111" s="32"/>
      <c r="FQ111" s="32"/>
      <c r="FR111" s="32"/>
      <c r="FS111" s="32"/>
      <c r="FT111" s="32"/>
      <c r="FU111" s="32"/>
      <c r="FV111" s="32"/>
      <c r="FW111" s="32"/>
      <c r="FX111" s="32"/>
      <c r="FY111" s="32"/>
      <c r="FZ111" s="32"/>
      <c r="GA111" s="32"/>
      <c r="GB111" s="32"/>
      <c r="GC111" s="32"/>
      <c r="GD111" s="32"/>
      <c r="GE111" s="32"/>
      <c r="GF111" s="32"/>
      <c r="GG111" s="32"/>
      <c r="GH111" s="32"/>
      <c r="GI111" s="32"/>
      <c r="GJ111" s="32"/>
      <c r="GK111" s="32"/>
      <c r="GL111" s="32"/>
      <c r="GM111" s="32"/>
      <c r="GN111" s="32"/>
      <c r="GO111" s="32"/>
      <c r="GP111" s="32"/>
      <c r="GQ111" s="32"/>
      <c r="GR111" s="32"/>
      <c r="GS111" s="32"/>
      <c r="GT111" s="32"/>
      <c r="GU111" s="32"/>
      <c r="GV111" s="32"/>
      <c r="GW111" s="32"/>
      <c r="GX111" s="32"/>
      <c r="GY111" s="32"/>
      <c r="GZ111" s="32"/>
      <c r="HA111" s="32"/>
      <c r="HB111" s="32"/>
      <c r="HC111" s="32"/>
      <c r="HD111" s="32"/>
      <c r="HE111" s="32"/>
      <c r="HF111" s="32"/>
      <c r="HG111" s="32"/>
      <c r="HH111" s="32"/>
      <c r="HI111" s="32"/>
      <c r="HJ111" s="32"/>
      <c r="HK111" s="32"/>
      <c r="HL111" s="32"/>
      <c r="HM111" s="32"/>
      <c r="HN111" s="32"/>
      <c r="HO111" s="32"/>
      <c r="HP111" s="32"/>
      <c r="HQ111" s="32"/>
      <c r="HR111" s="32"/>
      <c r="HS111" s="32"/>
      <c r="HT111" s="32"/>
      <c r="HU111" s="32"/>
      <c r="HV111" s="32"/>
      <c r="HW111" s="32"/>
      <c r="HX111" s="32"/>
      <c r="HY111" s="32"/>
      <c r="HZ111" s="32"/>
      <c r="IA111" s="32"/>
      <c r="IB111" s="32"/>
      <c r="IC111" s="32"/>
      <c r="ID111" s="32"/>
      <c r="IE111" s="32"/>
      <c r="IF111" s="32"/>
      <c r="IG111" s="32"/>
      <c r="IH111" s="32"/>
      <c r="II111" s="32"/>
      <c r="IJ111" s="32"/>
      <c r="IK111" s="32"/>
      <c r="IL111" s="32"/>
      <c r="IM111" s="32"/>
      <c r="IN111" s="32"/>
      <c r="IO111" s="32"/>
      <c r="IP111" s="32"/>
      <c r="IQ111" s="32"/>
    </row>
    <row r="112" spans="1:251" x14ac:dyDescent="0.2">
      <c r="A112" s="11">
        <v>27</v>
      </c>
      <c r="B112" s="11" t="s">
        <v>52</v>
      </c>
      <c r="C112" s="11" t="s">
        <v>174</v>
      </c>
      <c r="D112" s="32" t="s">
        <v>103</v>
      </c>
      <c r="E112" s="12" t="s">
        <v>90</v>
      </c>
      <c r="F112" s="11" t="s">
        <v>59</v>
      </c>
      <c r="G112" s="13">
        <v>42715</v>
      </c>
      <c r="I112" s="13">
        <v>43041</v>
      </c>
      <c r="J112" s="14">
        <v>43152</v>
      </c>
      <c r="K112" s="37">
        <v>106</v>
      </c>
      <c r="L112" s="16">
        <f t="shared" si="67"/>
        <v>437</v>
      </c>
      <c r="M112" s="16">
        <v>798</v>
      </c>
      <c r="N112" s="16">
        <v>878</v>
      </c>
      <c r="O112" s="16">
        <v>904</v>
      </c>
      <c r="P112" s="17">
        <f t="shared" si="88"/>
        <v>891</v>
      </c>
      <c r="U112" s="18">
        <v>1345</v>
      </c>
      <c r="V112" s="17">
        <v>1325</v>
      </c>
      <c r="W112" s="17">
        <v>1325</v>
      </c>
      <c r="X112" s="17">
        <f t="shared" si="90"/>
        <v>1325</v>
      </c>
      <c r="Y112" s="20">
        <f t="shared" si="91"/>
        <v>3.0320366132723113</v>
      </c>
      <c r="Z112" s="17">
        <f t="shared" si="92"/>
        <v>434</v>
      </c>
      <c r="AA112" s="20">
        <f t="shared" si="93"/>
        <v>3.875</v>
      </c>
      <c r="AB112" s="21">
        <v>54</v>
      </c>
      <c r="AC112" s="22">
        <f t="shared" si="94"/>
        <v>6.670239630000002</v>
      </c>
      <c r="AD112" s="23">
        <v>14.321999999999999</v>
      </c>
      <c r="AE112" s="24">
        <f t="shared" si="95"/>
        <v>1.0648327137546467</v>
      </c>
      <c r="AF112" s="23">
        <v>0.211701</v>
      </c>
      <c r="AG112" s="23">
        <v>3.6063000000000001</v>
      </c>
      <c r="AH112" s="23">
        <v>0.29133700000000001</v>
      </c>
      <c r="AI112" s="25">
        <v>40</v>
      </c>
      <c r="AJ112" s="26">
        <v>4</v>
      </c>
      <c r="AK112" s="26">
        <v>7</v>
      </c>
      <c r="AL112" s="27">
        <v>14.5</v>
      </c>
      <c r="AM112" s="27">
        <v>11</v>
      </c>
      <c r="AN112" s="27">
        <f t="shared" si="96"/>
        <v>159.5</v>
      </c>
      <c r="AO112" s="28">
        <f t="shared" ref="AO112:AO124" si="100">(AA112/3.6)*100</f>
        <v>107.63888888888889</v>
      </c>
      <c r="AP112" s="28">
        <f t="shared" si="97"/>
        <v>96.802973977695146</v>
      </c>
      <c r="AQ112" s="28">
        <f t="shared" ref="AQ112:AQ124" si="101">(Y112/2.74)*100</f>
        <v>110.65827055738362</v>
      </c>
      <c r="AR112" s="28">
        <f t="shared" si="98"/>
        <v>101.30056179775282</v>
      </c>
      <c r="AS112" s="28">
        <f t="shared" ref="AS112:AS124" si="102">(AI112/41.5)*100</f>
        <v>96.385542168674704</v>
      </c>
      <c r="AT112" s="28">
        <f t="shared" si="99"/>
        <v>103.68258215010046</v>
      </c>
      <c r="AU112" s="11" t="s">
        <v>213</v>
      </c>
      <c r="AV112" s="30"/>
      <c r="AW112" s="30"/>
      <c r="AX112" s="30"/>
      <c r="AY112" s="29"/>
      <c r="AZ112" s="30"/>
      <c r="BA112" s="30"/>
      <c r="BB112" s="29"/>
      <c r="BC112" s="30"/>
      <c r="BD112" s="30"/>
      <c r="BE112" s="30"/>
      <c r="BF112" s="30"/>
      <c r="BG112" s="30"/>
      <c r="BH112" s="29"/>
      <c r="BI112" s="30"/>
      <c r="BJ112" s="30"/>
      <c r="BK112" s="30"/>
      <c r="BL112" s="29"/>
      <c r="BM112" s="30"/>
      <c r="BN112" s="29"/>
      <c r="BO112" s="30"/>
      <c r="BP112" s="30"/>
      <c r="BQ112" s="30"/>
      <c r="BR112" s="30"/>
      <c r="BS112" s="31"/>
      <c r="BT112" s="30"/>
      <c r="BU112" s="30"/>
    </row>
    <row r="113" spans="1:251" x14ac:dyDescent="0.2">
      <c r="A113" s="11">
        <v>94</v>
      </c>
      <c r="B113" s="11" t="s">
        <v>52</v>
      </c>
      <c r="C113" s="11" t="s">
        <v>174</v>
      </c>
      <c r="D113" s="32" t="s">
        <v>48</v>
      </c>
      <c r="E113" s="12" t="s">
        <v>177</v>
      </c>
      <c r="F113" s="11" t="s">
        <v>59</v>
      </c>
      <c r="G113" s="13">
        <v>42646</v>
      </c>
      <c r="I113" s="13">
        <v>43041</v>
      </c>
      <c r="J113" s="14">
        <v>43152</v>
      </c>
      <c r="K113" s="15">
        <v>127</v>
      </c>
      <c r="L113" s="16">
        <f t="shared" si="67"/>
        <v>506</v>
      </c>
      <c r="M113" s="16"/>
      <c r="N113" s="11">
        <v>640</v>
      </c>
      <c r="O113" s="16">
        <v>666</v>
      </c>
      <c r="P113" s="17">
        <f t="shared" si="88"/>
        <v>653</v>
      </c>
      <c r="U113" s="18">
        <v>1100</v>
      </c>
      <c r="V113" s="17">
        <v>1100</v>
      </c>
      <c r="W113" s="17">
        <v>1115</v>
      </c>
      <c r="X113" s="17">
        <f t="shared" si="90"/>
        <v>1107.5</v>
      </c>
      <c r="Y113" s="20">
        <f t="shared" si="91"/>
        <v>2.1887351778656128</v>
      </c>
      <c r="Z113" s="17">
        <f t="shared" si="92"/>
        <v>454.5</v>
      </c>
      <c r="AA113" s="20">
        <f t="shared" si="93"/>
        <v>4.0580357142857144</v>
      </c>
      <c r="AB113" s="21">
        <v>49.5</v>
      </c>
      <c r="AC113" s="22">
        <f t="shared" si="94"/>
        <v>3.7962907200000005</v>
      </c>
      <c r="AD113" s="23">
        <v>12.539300000000001</v>
      </c>
      <c r="AE113" s="24">
        <f t="shared" si="95"/>
        <v>1.1399363636363635</v>
      </c>
      <c r="AF113" s="23">
        <v>0.151749</v>
      </c>
      <c r="AG113" s="23">
        <v>4.1319699999999999</v>
      </c>
      <c r="AH113" s="23">
        <v>0.195997</v>
      </c>
      <c r="AI113" s="25">
        <v>37.5</v>
      </c>
      <c r="AJ113" s="26">
        <v>2</v>
      </c>
      <c r="AK113" s="26">
        <v>6</v>
      </c>
      <c r="AL113" s="27">
        <v>15</v>
      </c>
      <c r="AM113" s="27">
        <v>11.5</v>
      </c>
      <c r="AN113" s="27">
        <f t="shared" si="96"/>
        <v>172.5</v>
      </c>
      <c r="AO113" s="28">
        <f t="shared" si="100"/>
        <v>112.72321428571428</v>
      </c>
      <c r="AP113" s="28">
        <f t="shared" si="97"/>
        <v>103.63057851239668</v>
      </c>
      <c r="AQ113" s="28">
        <f t="shared" si="101"/>
        <v>79.88084590750411</v>
      </c>
      <c r="AR113" s="28">
        <f t="shared" si="98"/>
        <v>116.06657303370787</v>
      </c>
      <c r="AS113" s="28">
        <f t="shared" si="102"/>
        <v>90.361445783132538</v>
      </c>
      <c r="AT113" s="28">
        <f t="shared" si="99"/>
        <v>102.76870835474928</v>
      </c>
    </row>
    <row r="114" spans="1:251" x14ac:dyDescent="0.2">
      <c r="A114" s="11">
        <v>59</v>
      </c>
      <c r="B114" s="11" t="s">
        <v>52</v>
      </c>
      <c r="C114" s="11" t="s">
        <v>174</v>
      </c>
      <c r="D114" s="11" t="s">
        <v>117</v>
      </c>
      <c r="E114" s="12" t="s">
        <v>126</v>
      </c>
      <c r="F114" s="11" t="s">
        <v>59</v>
      </c>
      <c r="G114" s="13">
        <v>42645</v>
      </c>
      <c r="I114" s="13">
        <v>43041</v>
      </c>
      <c r="J114" s="14">
        <v>43152</v>
      </c>
      <c r="K114" s="15">
        <v>111</v>
      </c>
      <c r="L114" s="16">
        <f t="shared" si="67"/>
        <v>507</v>
      </c>
      <c r="M114" s="16">
        <v>860</v>
      </c>
      <c r="N114" s="16">
        <v>910</v>
      </c>
      <c r="O114" s="16">
        <v>948</v>
      </c>
      <c r="P114" s="17">
        <f t="shared" si="88"/>
        <v>929</v>
      </c>
      <c r="U114" s="18">
        <v>1365</v>
      </c>
      <c r="V114" s="17">
        <v>1350</v>
      </c>
      <c r="W114" s="19">
        <v>1345</v>
      </c>
      <c r="X114" s="17">
        <f t="shared" si="90"/>
        <v>1347.5</v>
      </c>
      <c r="Y114" s="20">
        <f t="shared" si="91"/>
        <v>2.6577909270216962</v>
      </c>
      <c r="Z114" s="17">
        <f t="shared" si="92"/>
        <v>418.5</v>
      </c>
      <c r="AA114" s="20">
        <f t="shared" si="93"/>
        <v>3.7366071428571428</v>
      </c>
      <c r="AB114" s="21">
        <v>54</v>
      </c>
      <c r="AC114" s="22">
        <f t="shared" si="94"/>
        <v>6.0600692300000025</v>
      </c>
      <c r="AD114" s="23">
        <v>14.9574</v>
      </c>
      <c r="AE114" s="24">
        <f t="shared" si="95"/>
        <v>1.0957802197802198</v>
      </c>
      <c r="AF114" s="23">
        <v>0.249997</v>
      </c>
      <c r="AG114" s="23">
        <v>4.0047199999999998</v>
      </c>
      <c r="AH114" s="23">
        <v>0.33698099999999998</v>
      </c>
      <c r="AI114" s="25">
        <v>38.5</v>
      </c>
      <c r="AJ114" s="26">
        <v>4</v>
      </c>
      <c r="AK114" s="26">
        <v>6</v>
      </c>
      <c r="AL114" s="27">
        <v>16</v>
      </c>
      <c r="AM114" s="27">
        <v>13.5</v>
      </c>
      <c r="AN114" s="27">
        <f t="shared" si="96"/>
        <v>216</v>
      </c>
      <c r="AO114" s="28">
        <f t="shared" si="100"/>
        <v>103.79464285714286</v>
      </c>
      <c r="AP114" s="28">
        <f t="shared" si="97"/>
        <v>99.616383616383615</v>
      </c>
      <c r="AQ114" s="28">
        <f t="shared" si="101"/>
        <v>96.999668869404971</v>
      </c>
      <c r="AR114" s="28">
        <f t="shared" si="98"/>
        <v>112.49213483146067</v>
      </c>
      <c r="AS114" s="28">
        <f t="shared" si="102"/>
        <v>92.771084337349393</v>
      </c>
      <c r="AT114" s="28">
        <f t="shared" si="99"/>
        <v>102.23713875432766</v>
      </c>
      <c r="AV114" s="30"/>
      <c r="AW114" s="30"/>
      <c r="AX114" s="30"/>
      <c r="AY114" s="29"/>
      <c r="AZ114" s="30"/>
      <c r="BA114" s="30"/>
      <c r="BC114" s="30"/>
      <c r="BD114" s="30"/>
      <c r="BE114" s="30"/>
      <c r="BF114" s="30"/>
      <c r="BG114" s="30"/>
      <c r="BH114" s="29"/>
      <c r="BI114" s="30"/>
      <c r="BJ114" s="30"/>
      <c r="BK114" s="30"/>
      <c r="BL114" s="29"/>
      <c r="BM114" s="30"/>
      <c r="BN114" s="29"/>
      <c r="BO114" s="30"/>
      <c r="BP114" s="30"/>
      <c r="BQ114" s="30"/>
      <c r="BR114" s="30"/>
      <c r="BS114" s="31"/>
      <c r="BT114" s="30"/>
      <c r="BU114" s="30"/>
    </row>
    <row r="115" spans="1:251" x14ac:dyDescent="0.2">
      <c r="A115" s="11">
        <v>28</v>
      </c>
      <c r="B115" s="11" t="s">
        <v>52</v>
      </c>
      <c r="C115" s="11" t="s">
        <v>174</v>
      </c>
      <c r="D115" s="32" t="s">
        <v>103</v>
      </c>
      <c r="E115" s="12" t="s">
        <v>91</v>
      </c>
      <c r="F115" s="11" t="s">
        <v>59</v>
      </c>
      <c r="G115" s="13">
        <v>42643</v>
      </c>
      <c r="I115" s="13">
        <v>43041</v>
      </c>
      <c r="J115" s="14">
        <v>43152</v>
      </c>
      <c r="K115" s="37">
        <v>106</v>
      </c>
      <c r="L115" s="16">
        <f t="shared" si="67"/>
        <v>509</v>
      </c>
      <c r="M115" s="16">
        <v>1025</v>
      </c>
      <c r="N115" s="16">
        <v>1105</v>
      </c>
      <c r="O115" s="16">
        <v>1135</v>
      </c>
      <c r="P115" s="17">
        <f t="shared" si="88"/>
        <v>1120</v>
      </c>
      <c r="U115" s="18">
        <v>1570</v>
      </c>
      <c r="V115" s="17">
        <v>1540</v>
      </c>
      <c r="W115" s="17">
        <v>1545</v>
      </c>
      <c r="X115" s="17">
        <f t="shared" si="90"/>
        <v>1542.5</v>
      </c>
      <c r="Y115" s="20">
        <f t="shared" si="91"/>
        <v>3.0304518664047153</v>
      </c>
      <c r="Z115" s="17">
        <f t="shared" si="92"/>
        <v>422.5</v>
      </c>
      <c r="AA115" s="20">
        <f t="shared" si="93"/>
        <v>3.7723214285714284</v>
      </c>
      <c r="AB115" s="21">
        <v>55</v>
      </c>
      <c r="AC115" s="22">
        <f t="shared" si="94"/>
        <v>6.5502400700000019</v>
      </c>
      <c r="AD115" s="23">
        <v>16.532</v>
      </c>
      <c r="AE115" s="24">
        <f t="shared" si="95"/>
        <v>1.0529936305732486</v>
      </c>
      <c r="AF115" s="23">
        <v>0.22234799999999999</v>
      </c>
      <c r="AG115" s="23">
        <v>3.26356</v>
      </c>
      <c r="AH115" s="23">
        <v>0.223277</v>
      </c>
      <c r="AI115" s="25">
        <v>44</v>
      </c>
      <c r="AJ115" s="26">
        <v>3</v>
      </c>
      <c r="AK115" s="26">
        <v>7</v>
      </c>
      <c r="AL115" s="27">
        <v>16</v>
      </c>
      <c r="AM115" s="27">
        <v>12</v>
      </c>
      <c r="AN115" s="27">
        <f t="shared" si="96"/>
        <v>192</v>
      </c>
      <c r="AO115" s="28">
        <f t="shared" si="100"/>
        <v>104.78670634920636</v>
      </c>
      <c r="AP115" s="28">
        <f t="shared" si="97"/>
        <v>95.726693688477141</v>
      </c>
      <c r="AQ115" s="28">
        <f t="shared" si="101"/>
        <v>110.60043308046406</v>
      </c>
      <c r="AR115" s="28">
        <f t="shared" si="98"/>
        <v>91.673033707865173</v>
      </c>
      <c r="AS115" s="28">
        <f t="shared" si="102"/>
        <v>106.02409638554218</v>
      </c>
      <c r="AT115" s="28">
        <f t="shared" si="99"/>
        <v>101.63845363867742</v>
      </c>
    </row>
    <row r="116" spans="1:251" x14ac:dyDescent="0.2">
      <c r="A116" s="16">
        <v>39</v>
      </c>
      <c r="B116" s="11" t="s">
        <v>52</v>
      </c>
      <c r="C116" s="11" t="s">
        <v>174</v>
      </c>
      <c r="D116" s="32" t="s">
        <v>103</v>
      </c>
      <c r="E116" s="12" t="s">
        <v>101</v>
      </c>
      <c r="F116" s="11" t="s">
        <v>59</v>
      </c>
      <c r="G116" s="13">
        <v>42646</v>
      </c>
      <c r="I116" s="13">
        <v>43041</v>
      </c>
      <c r="J116" s="14">
        <v>43152</v>
      </c>
      <c r="K116" s="37">
        <v>106</v>
      </c>
      <c r="L116" s="16">
        <f t="shared" si="67"/>
        <v>506</v>
      </c>
      <c r="M116" s="16">
        <v>1050</v>
      </c>
      <c r="N116" s="16">
        <v>1070</v>
      </c>
      <c r="O116" s="16">
        <v>1110</v>
      </c>
      <c r="P116" s="17">
        <f t="shared" si="88"/>
        <v>1090</v>
      </c>
      <c r="U116" s="18">
        <v>1475</v>
      </c>
      <c r="V116" s="17">
        <v>1465</v>
      </c>
      <c r="W116" s="17">
        <v>1470</v>
      </c>
      <c r="X116" s="17">
        <f t="shared" si="90"/>
        <v>1467.5</v>
      </c>
      <c r="Y116" s="20">
        <f t="shared" si="91"/>
        <v>2.900197628458498</v>
      </c>
      <c r="Z116" s="17">
        <f t="shared" si="92"/>
        <v>377.5</v>
      </c>
      <c r="AA116" s="20">
        <f t="shared" si="93"/>
        <v>3.3705357142857144</v>
      </c>
      <c r="AB116" s="21">
        <v>56</v>
      </c>
      <c r="AC116" s="22">
        <f t="shared" si="94"/>
        <v>7.0768433200000009</v>
      </c>
      <c r="AD116" s="23">
        <v>16.7089</v>
      </c>
      <c r="AE116" s="24">
        <f t="shared" si="95"/>
        <v>1.1328067796610168</v>
      </c>
      <c r="AF116" s="23">
        <v>0.28578799999999999</v>
      </c>
      <c r="AG116" s="23">
        <v>3.5916899999999998</v>
      </c>
      <c r="AH116" s="23">
        <v>0.28683500000000001</v>
      </c>
      <c r="AI116" s="25">
        <v>43.5</v>
      </c>
      <c r="AJ116" s="26">
        <v>2</v>
      </c>
      <c r="AK116" s="26">
        <v>7</v>
      </c>
      <c r="AL116" s="27">
        <v>16</v>
      </c>
      <c r="AM116" s="27">
        <v>12</v>
      </c>
      <c r="AN116" s="27">
        <f t="shared" si="96"/>
        <v>192</v>
      </c>
      <c r="AO116" s="28">
        <f t="shared" si="100"/>
        <v>93.625992063492063</v>
      </c>
      <c r="AP116" s="28">
        <f t="shared" si="97"/>
        <v>102.98243451463789</v>
      </c>
      <c r="AQ116" s="28">
        <f t="shared" si="101"/>
        <v>105.84662877585758</v>
      </c>
      <c r="AR116" s="28">
        <f t="shared" si="98"/>
        <v>100.89016853932584</v>
      </c>
      <c r="AS116" s="28">
        <f t="shared" si="102"/>
        <v>104.81927710843372</v>
      </c>
      <c r="AT116" s="28">
        <f t="shared" si="99"/>
        <v>100.51357169585526</v>
      </c>
    </row>
    <row r="117" spans="1:251" s="44" customFormat="1" x14ac:dyDescent="0.2">
      <c r="A117" s="11">
        <v>26</v>
      </c>
      <c r="B117" s="11" t="s">
        <v>52</v>
      </c>
      <c r="C117" s="11" t="s">
        <v>174</v>
      </c>
      <c r="D117" s="32" t="s">
        <v>103</v>
      </c>
      <c r="E117" s="12" t="s">
        <v>89</v>
      </c>
      <c r="F117" s="11" t="s">
        <v>59</v>
      </c>
      <c r="G117" s="13">
        <v>42673</v>
      </c>
      <c r="H117" s="13"/>
      <c r="I117" s="13">
        <v>43041</v>
      </c>
      <c r="J117" s="14">
        <v>43152</v>
      </c>
      <c r="K117" s="37">
        <v>106</v>
      </c>
      <c r="L117" s="16">
        <f t="shared" si="67"/>
        <v>479</v>
      </c>
      <c r="M117" s="16">
        <v>892</v>
      </c>
      <c r="N117" s="16">
        <v>962</v>
      </c>
      <c r="O117" s="16">
        <v>992</v>
      </c>
      <c r="P117" s="17">
        <f t="shared" si="88"/>
        <v>977</v>
      </c>
      <c r="Q117" s="17"/>
      <c r="R117" s="17"/>
      <c r="S117" s="17"/>
      <c r="T117" s="17"/>
      <c r="U117" s="18">
        <v>1355</v>
      </c>
      <c r="V117" s="17">
        <v>1365</v>
      </c>
      <c r="W117" s="17">
        <v>1325</v>
      </c>
      <c r="X117" s="17">
        <f t="shared" si="90"/>
        <v>1345</v>
      </c>
      <c r="Y117" s="20">
        <f t="shared" si="91"/>
        <v>2.8079331941544887</v>
      </c>
      <c r="Z117" s="17">
        <f t="shared" si="92"/>
        <v>368</v>
      </c>
      <c r="AA117" s="20">
        <f t="shared" si="93"/>
        <v>3.2857142857142856</v>
      </c>
      <c r="AB117" s="21">
        <v>53</v>
      </c>
      <c r="AC117" s="22">
        <f t="shared" si="94"/>
        <v>5.7774420700000011</v>
      </c>
      <c r="AD117" s="23">
        <v>15.7135</v>
      </c>
      <c r="AE117" s="24">
        <f t="shared" si="95"/>
        <v>1.1596678966789669</v>
      </c>
      <c r="AF117" s="23">
        <v>0.19906199999999999</v>
      </c>
      <c r="AG117" s="23">
        <v>3.5994799999999998</v>
      </c>
      <c r="AH117" s="23">
        <v>0.21357899999999999</v>
      </c>
      <c r="AI117" s="25">
        <v>44</v>
      </c>
      <c r="AJ117" s="26">
        <v>3</v>
      </c>
      <c r="AK117" s="26">
        <v>6</v>
      </c>
      <c r="AL117" s="27">
        <v>16.5</v>
      </c>
      <c r="AM117" s="27">
        <v>13</v>
      </c>
      <c r="AN117" s="27">
        <f t="shared" si="96"/>
        <v>214.5</v>
      </c>
      <c r="AO117" s="28">
        <f t="shared" si="100"/>
        <v>91.269841269841265</v>
      </c>
      <c r="AP117" s="28">
        <f t="shared" si="97"/>
        <v>105.42435424354244</v>
      </c>
      <c r="AQ117" s="28">
        <f t="shared" si="101"/>
        <v>102.4793136552733</v>
      </c>
      <c r="AR117" s="28">
        <f t="shared" si="98"/>
        <v>101.10898876404492</v>
      </c>
      <c r="AS117" s="28">
        <f t="shared" si="102"/>
        <v>106.02409638554218</v>
      </c>
      <c r="AT117" s="28">
        <f t="shared" si="99"/>
        <v>99.78589335207873</v>
      </c>
      <c r="AU117" s="11"/>
      <c r="AV117" s="30"/>
      <c r="AW117" s="30"/>
      <c r="AX117" s="30"/>
      <c r="AY117" s="29"/>
      <c r="AZ117" s="30"/>
      <c r="BA117" s="30"/>
      <c r="BB117" s="16"/>
      <c r="BC117" s="30"/>
      <c r="BD117" s="30"/>
      <c r="BE117" s="30"/>
      <c r="BF117" s="30"/>
      <c r="BG117" s="30"/>
      <c r="BH117" s="29"/>
      <c r="BI117" s="30"/>
      <c r="BJ117" s="30"/>
      <c r="BK117" s="30"/>
      <c r="BL117" s="29"/>
      <c r="BM117" s="30"/>
      <c r="BN117" s="29"/>
      <c r="BO117" s="30"/>
      <c r="BP117" s="30"/>
      <c r="BQ117" s="30"/>
      <c r="BR117" s="30"/>
      <c r="BS117" s="31"/>
      <c r="BT117" s="30"/>
      <c r="BU117" s="30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  <c r="HJ117" s="11"/>
      <c r="HK117" s="11"/>
      <c r="HL117" s="11"/>
      <c r="HM117" s="11"/>
      <c r="HN117" s="11"/>
      <c r="HO117" s="11"/>
      <c r="HP117" s="11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1"/>
      <c r="IB117" s="11"/>
      <c r="IC117" s="11"/>
      <c r="ID117" s="11"/>
      <c r="IE117" s="11"/>
      <c r="IF117" s="11"/>
      <c r="IG117" s="11"/>
      <c r="IH117" s="11"/>
      <c r="II117" s="11"/>
      <c r="IJ117" s="11"/>
      <c r="IK117" s="11"/>
      <c r="IL117" s="11"/>
      <c r="IM117" s="11"/>
      <c r="IN117" s="11"/>
      <c r="IO117" s="11"/>
      <c r="IP117" s="11"/>
      <c r="IQ117" s="11"/>
    </row>
    <row r="118" spans="1:251" x14ac:dyDescent="0.2">
      <c r="A118" s="11">
        <v>35</v>
      </c>
      <c r="B118" s="11" t="s">
        <v>52</v>
      </c>
      <c r="C118" s="11" t="s">
        <v>174</v>
      </c>
      <c r="D118" s="32" t="s">
        <v>103</v>
      </c>
      <c r="E118" s="12" t="s">
        <v>98</v>
      </c>
      <c r="F118" s="11" t="s">
        <v>59</v>
      </c>
      <c r="G118" s="13">
        <v>42641</v>
      </c>
      <c r="I118" s="13">
        <v>43041</v>
      </c>
      <c r="J118" s="14">
        <v>43152</v>
      </c>
      <c r="K118" s="37">
        <v>106</v>
      </c>
      <c r="L118" s="16">
        <f t="shared" si="67"/>
        <v>511</v>
      </c>
      <c r="M118" s="16">
        <v>962</v>
      </c>
      <c r="N118" s="16">
        <v>1045</v>
      </c>
      <c r="O118" s="16">
        <v>1075</v>
      </c>
      <c r="P118" s="17">
        <f t="shared" si="88"/>
        <v>1060</v>
      </c>
      <c r="U118" s="18">
        <v>1475</v>
      </c>
      <c r="V118" s="17">
        <v>1460</v>
      </c>
      <c r="W118" s="17">
        <v>1430</v>
      </c>
      <c r="X118" s="17">
        <f t="shared" si="90"/>
        <v>1445</v>
      </c>
      <c r="Y118" s="20">
        <f t="shared" si="91"/>
        <v>2.8277886497064579</v>
      </c>
      <c r="Z118" s="17">
        <f t="shared" si="92"/>
        <v>385</v>
      </c>
      <c r="AA118" s="20">
        <f t="shared" si="93"/>
        <v>3.4375</v>
      </c>
      <c r="AB118" s="21">
        <v>55</v>
      </c>
      <c r="AC118" s="22">
        <f t="shared" si="94"/>
        <v>6.5358328700000019</v>
      </c>
      <c r="AD118" s="23">
        <v>16.333500000000001</v>
      </c>
      <c r="AE118" s="24">
        <f t="shared" si="95"/>
        <v>1.1073559322033899</v>
      </c>
      <c r="AF118" s="23">
        <v>0.18941</v>
      </c>
      <c r="AG118" s="23">
        <v>3.48569</v>
      </c>
      <c r="AH118" s="23">
        <v>0.26641399999999998</v>
      </c>
      <c r="AI118" s="25">
        <v>42</v>
      </c>
      <c r="AJ118" s="26">
        <v>4</v>
      </c>
      <c r="AK118" s="26">
        <v>7</v>
      </c>
      <c r="AL118" s="27">
        <v>16</v>
      </c>
      <c r="AM118" s="27">
        <v>13</v>
      </c>
      <c r="AN118" s="27">
        <f t="shared" si="96"/>
        <v>208</v>
      </c>
      <c r="AO118" s="28">
        <f t="shared" si="100"/>
        <v>95.4861111111111</v>
      </c>
      <c r="AP118" s="28">
        <f t="shared" si="97"/>
        <v>100.66872110939909</v>
      </c>
      <c r="AQ118" s="28">
        <f t="shared" si="101"/>
        <v>103.20396531775393</v>
      </c>
      <c r="AR118" s="28">
        <f t="shared" si="98"/>
        <v>97.9126404494382</v>
      </c>
      <c r="AS118" s="28">
        <f t="shared" si="102"/>
        <v>101.20481927710843</v>
      </c>
      <c r="AT118" s="28">
        <f t="shared" si="99"/>
        <v>99.123380636362427</v>
      </c>
    </row>
    <row r="119" spans="1:251" x14ac:dyDescent="0.2">
      <c r="A119" s="11">
        <v>57</v>
      </c>
      <c r="B119" s="11" t="s">
        <v>52</v>
      </c>
      <c r="C119" s="11" t="s">
        <v>174</v>
      </c>
      <c r="D119" s="11" t="s">
        <v>117</v>
      </c>
      <c r="E119" s="12" t="s">
        <v>124</v>
      </c>
      <c r="F119" s="11" t="s">
        <v>59</v>
      </c>
      <c r="G119" s="36">
        <v>42670</v>
      </c>
      <c r="I119" s="13">
        <v>43041</v>
      </c>
      <c r="J119" s="14">
        <v>43152</v>
      </c>
      <c r="K119" s="15">
        <v>111</v>
      </c>
      <c r="L119" s="16">
        <f t="shared" si="67"/>
        <v>482</v>
      </c>
      <c r="M119" s="16">
        <v>934</v>
      </c>
      <c r="N119" s="16">
        <v>990</v>
      </c>
      <c r="O119" s="16">
        <v>1030</v>
      </c>
      <c r="P119" s="17">
        <f t="shared" si="88"/>
        <v>1010</v>
      </c>
      <c r="U119" s="18">
        <v>1375</v>
      </c>
      <c r="V119" s="17">
        <v>1370</v>
      </c>
      <c r="W119" s="19">
        <v>1380</v>
      </c>
      <c r="X119" s="17">
        <f t="shared" si="90"/>
        <v>1375</v>
      </c>
      <c r="Y119" s="20">
        <f t="shared" si="91"/>
        <v>2.8526970954356847</v>
      </c>
      <c r="Z119" s="17">
        <f t="shared" si="92"/>
        <v>365</v>
      </c>
      <c r="AA119" s="20">
        <f t="shared" si="93"/>
        <v>3.2589285714285716</v>
      </c>
      <c r="AB119" s="21">
        <v>54</v>
      </c>
      <c r="AC119" s="22">
        <f t="shared" si="94"/>
        <v>6.2560834800000009</v>
      </c>
      <c r="AD119" s="23">
        <v>15.0296</v>
      </c>
      <c r="AE119" s="24">
        <f t="shared" si="95"/>
        <v>1.0930618181818181</v>
      </c>
      <c r="AF119" s="23">
        <v>0.25292599999999998</v>
      </c>
      <c r="AG119" s="23">
        <v>3.6876600000000002</v>
      </c>
      <c r="AH119" s="23">
        <v>0.23002700000000001</v>
      </c>
      <c r="AI119" s="25">
        <v>43</v>
      </c>
      <c r="AJ119" s="26">
        <v>4</v>
      </c>
      <c r="AK119" s="26">
        <v>7</v>
      </c>
      <c r="AL119" s="27">
        <v>16</v>
      </c>
      <c r="AM119" s="27">
        <v>12</v>
      </c>
      <c r="AN119" s="27">
        <f t="shared" si="96"/>
        <v>192</v>
      </c>
      <c r="AO119" s="28">
        <f t="shared" si="100"/>
        <v>90.525793650793645</v>
      </c>
      <c r="AP119" s="28">
        <f t="shared" si="97"/>
        <v>99.369256198347102</v>
      </c>
      <c r="AQ119" s="28">
        <f t="shared" si="101"/>
        <v>104.11303268013448</v>
      </c>
      <c r="AR119" s="28">
        <f t="shared" si="98"/>
        <v>103.58595505617978</v>
      </c>
      <c r="AS119" s="28">
        <f t="shared" si="102"/>
        <v>103.6144578313253</v>
      </c>
      <c r="AT119" s="28">
        <f t="shared" si="99"/>
        <v>98.932832665302897</v>
      </c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  <c r="DH119" s="32"/>
      <c r="DI119" s="32"/>
      <c r="DJ119" s="32"/>
      <c r="DK119" s="32"/>
      <c r="DL119" s="32"/>
      <c r="DM119" s="32"/>
      <c r="DN119" s="32"/>
      <c r="DO119" s="32"/>
      <c r="DP119" s="32"/>
      <c r="DQ119" s="32"/>
      <c r="DR119" s="32"/>
      <c r="DS119" s="32"/>
      <c r="DT119" s="32"/>
      <c r="DU119" s="32"/>
      <c r="DV119" s="32"/>
      <c r="DW119" s="32"/>
      <c r="DX119" s="32"/>
      <c r="DY119" s="32"/>
      <c r="DZ119" s="32"/>
      <c r="EA119" s="32"/>
      <c r="EB119" s="32"/>
      <c r="EC119" s="32"/>
      <c r="ED119" s="32"/>
      <c r="EE119" s="32"/>
      <c r="EF119" s="32"/>
      <c r="EG119" s="32"/>
      <c r="EH119" s="32"/>
      <c r="EI119" s="32"/>
      <c r="EJ119" s="32"/>
      <c r="EK119" s="32"/>
      <c r="EL119" s="32"/>
      <c r="EM119" s="32"/>
      <c r="EN119" s="32"/>
      <c r="EO119" s="32"/>
      <c r="EP119" s="32"/>
      <c r="EQ119" s="32"/>
      <c r="ER119" s="32"/>
      <c r="ES119" s="32"/>
      <c r="ET119" s="32"/>
      <c r="EU119" s="32"/>
      <c r="EV119" s="32"/>
      <c r="EW119" s="32"/>
      <c r="EX119" s="32"/>
      <c r="EY119" s="32"/>
      <c r="EZ119" s="32"/>
      <c r="FA119" s="32"/>
      <c r="FB119" s="32"/>
      <c r="FC119" s="32"/>
      <c r="FD119" s="32"/>
      <c r="FE119" s="32"/>
      <c r="FF119" s="32"/>
      <c r="FG119" s="32"/>
      <c r="FH119" s="32"/>
      <c r="FI119" s="32"/>
      <c r="FJ119" s="32"/>
      <c r="FK119" s="32"/>
      <c r="FL119" s="32"/>
      <c r="FM119" s="32"/>
      <c r="FN119" s="32"/>
      <c r="FO119" s="32"/>
      <c r="FP119" s="32"/>
      <c r="FQ119" s="32"/>
      <c r="FR119" s="32"/>
      <c r="FS119" s="32"/>
      <c r="FT119" s="32"/>
      <c r="FU119" s="32"/>
      <c r="FV119" s="32"/>
      <c r="FW119" s="32"/>
      <c r="FX119" s="32"/>
      <c r="FY119" s="32"/>
      <c r="FZ119" s="32"/>
      <c r="GA119" s="32"/>
      <c r="GB119" s="32"/>
      <c r="GC119" s="32"/>
      <c r="GD119" s="32"/>
      <c r="GE119" s="32"/>
      <c r="GF119" s="32"/>
      <c r="GG119" s="32"/>
      <c r="GH119" s="32"/>
      <c r="GI119" s="32"/>
      <c r="GJ119" s="32"/>
      <c r="GK119" s="32"/>
      <c r="GL119" s="32"/>
      <c r="GM119" s="32"/>
      <c r="GN119" s="32"/>
      <c r="GO119" s="32"/>
      <c r="GP119" s="32"/>
      <c r="GQ119" s="32"/>
      <c r="GR119" s="32"/>
      <c r="GS119" s="32"/>
      <c r="GT119" s="32"/>
      <c r="GU119" s="32"/>
      <c r="GV119" s="32"/>
      <c r="GW119" s="32"/>
      <c r="GX119" s="32"/>
      <c r="GY119" s="32"/>
      <c r="GZ119" s="32"/>
      <c r="HA119" s="32"/>
      <c r="HB119" s="32"/>
      <c r="HC119" s="32"/>
      <c r="HD119" s="32"/>
      <c r="HE119" s="32"/>
      <c r="HF119" s="32"/>
      <c r="HG119" s="32"/>
      <c r="HH119" s="32"/>
      <c r="HI119" s="32"/>
      <c r="HJ119" s="32"/>
      <c r="HK119" s="32"/>
      <c r="HL119" s="32"/>
      <c r="HM119" s="32"/>
      <c r="HN119" s="32"/>
      <c r="HO119" s="32"/>
      <c r="HP119" s="32"/>
      <c r="HQ119" s="32"/>
      <c r="HR119" s="32"/>
      <c r="HS119" s="32"/>
      <c r="HT119" s="32"/>
      <c r="HU119" s="32"/>
      <c r="HV119" s="32"/>
      <c r="HW119" s="32"/>
      <c r="HX119" s="32"/>
      <c r="HY119" s="32"/>
      <c r="HZ119" s="32"/>
      <c r="IA119" s="32"/>
      <c r="IB119" s="32"/>
      <c r="IC119" s="32"/>
      <c r="ID119" s="32"/>
      <c r="IE119" s="32"/>
      <c r="IF119" s="32"/>
      <c r="IG119" s="32"/>
      <c r="IH119" s="32"/>
      <c r="II119" s="32"/>
      <c r="IJ119" s="32"/>
      <c r="IK119" s="32"/>
      <c r="IL119" s="32"/>
      <c r="IM119" s="32"/>
      <c r="IN119" s="32"/>
      <c r="IO119" s="32"/>
      <c r="IP119" s="32"/>
      <c r="IQ119" s="32"/>
    </row>
    <row r="120" spans="1:251" x14ac:dyDescent="0.2">
      <c r="A120" s="11">
        <v>34</v>
      </c>
      <c r="B120" s="11" t="s">
        <v>52</v>
      </c>
      <c r="C120" s="11" t="s">
        <v>174</v>
      </c>
      <c r="D120" s="32" t="s">
        <v>103</v>
      </c>
      <c r="E120" s="12" t="s">
        <v>97</v>
      </c>
      <c r="F120" s="11" t="s">
        <v>59</v>
      </c>
      <c r="G120" s="13">
        <v>42647</v>
      </c>
      <c r="I120" s="13">
        <v>43041</v>
      </c>
      <c r="J120" s="14">
        <v>43152</v>
      </c>
      <c r="K120" s="37">
        <v>106</v>
      </c>
      <c r="L120" s="16">
        <f t="shared" si="67"/>
        <v>505</v>
      </c>
      <c r="M120" s="16">
        <v>890</v>
      </c>
      <c r="N120" s="16">
        <v>940</v>
      </c>
      <c r="O120" s="16">
        <v>962</v>
      </c>
      <c r="P120" s="17">
        <f t="shared" si="88"/>
        <v>951</v>
      </c>
      <c r="U120" s="18">
        <v>1345</v>
      </c>
      <c r="V120" s="17">
        <v>1345</v>
      </c>
      <c r="W120" s="17">
        <v>1355</v>
      </c>
      <c r="X120" s="17">
        <f t="shared" si="90"/>
        <v>1350</v>
      </c>
      <c r="Y120" s="20">
        <f t="shared" si="91"/>
        <v>2.6732673267326734</v>
      </c>
      <c r="Z120" s="17">
        <f t="shared" si="92"/>
        <v>399</v>
      </c>
      <c r="AA120" s="20">
        <f t="shared" si="93"/>
        <v>3.5625</v>
      </c>
      <c r="AB120" s="21">
        <v>54</v>
      </c>
      <c r="AC120" s="22">
        <f t="shared" si="94"/>
        <v>6.074854750000001</v>
      </c>
      <c r="AD120" s="23">
        <v>14.472799999999999</v>
      </c>
      <c r="AE120" s="24">
        <f t="shared" si="95"/>
        <v>1.0760446096654275</v>
      </c>
      <c r="AF120" s="23">
        <v>0.19678300000000001</v>
      </c>
      <c r="AG120" s="23">
        <v>3.3532700000000002</v>
      </c>
      <c r="AH120" s="23">
        <v>0.31850000000000001</v>
      </c>
      <c r="AI120" s="25">
        <v>45</v>
      </c>
      <c r="AJ120" s="26">
        <v>4</v>
      </c>
      <c r="AK120" s="26">
        <v>7</v>
      </c>
      <c r="AL120" s="27">
        <v>15</v>
      </c>
      <c r="AM120" s="27">
        <v>11</v>
      </c>
      <c r="AN120" s="27">
        <f t="shared" si="96"/>
        <v>165</v>
      </c>
      <c r="AO120" s="28">
        <f t="shared" si="100"/>
        <v>98.958333333333329</v>
      </c>
      <c r="AP120" s="28">
        <f t="shared" si="97"/>
        <v>97.822237242311587</v>
      </c>
      <c r="AQ120" s="28">
        <f t="shared" si="101"/>
        <v>97.564500975645004</v>
      </c>
      <c r="AR120" s="28">
        <f t="shared" si="98"/>
        <v>94.192977528089898</v>
      </c>
      <c r="AS120" s="28">
        <f t="shared" si="102"/>
        <v>108.43373493975903</v>
      </c>
      <c r="AT120" s="28">
        <f t="shared" si="99"/>
        <v>98.446816643185215</v>
      </c>
    </row>
    <row r="121" spans="1:251" x14ac:dyDescent="0.2">
      <c r="A121" s="11">
        <v>90</v>
      </c>
      <c r="B121" s="43" t="s">
        <v>52</v>
      </c>
      <c r="C121" s="11" t="s">
        <v>174</v>
      </c>
      <c r="D121" s="11" t="s">
        <v>155</v>
      </c>
      <c r="E121" s="12" t="s">
        <v>162</v>
      </c>
      <c r="F121" s="11" t="s">
        <v>59</v>
      </c>
      <c r="G121" s="13">
        <v>42640</v>
      </c>
      <c r="I121" s="13">
        <v>43041</v>
      </c>
      <c r="J121" s="14">
        <v>43152</v>
      </c>
      <c r="K121" s="15">
        <v>120</v>
      </c>
      <c r="L121" s="16">
        <f t="shared" si="67"/>
        <v>512</v>
      </c>
      <c r="M121" s="16">
        <v>1100</v>
      </c>
      <c r="N121" s="11">
        <v>1105</v>
      </c>
      <c r="O121" s="16">
        <v>1165</v>
      </c>
      <c r="P121" s="17">
        <f t="shared" si="88"/>
        <v>1135</v>
      </c>
      <c r="U121" s="18">
        <v>1535</v>
      </c>
      <c r="V121" s="15">
        <v>1525</v>
      </c>
      <c r="W121" s="19">
        <v>1530</v>
      </c>
      <c r="X121" s="17">
        <f t="shared" si="90"/>
        <v>1527.5</v>
      </c>
      <c r="Y121" s="20">
        <f t="shared" si="91"/>
        <v>2.9833984375</v>
      </c>
      <c r="Z121" s="17">
        <f t="shared" si="92"/>
        <v>392.5</v>
      </c>
      <c r="AA121" s="20">
        <f t="shared" si="93"/>
        <v>3.5044642857142856</v>
      </c>
      <c r="AB121" s="21">
        <v>54.5</v>
      </c>
      <c r="AC121" s="22">
        <f t="shared" si="94"/>
        <v>6.2762372800000019</v>
      </c>
      <c r="AD121" s="23">
        <v>15.669499999999999</v>
      </c>
      <c r="AE121" s="24">
        <f t="shared" si="95"/>
        <v>1.0208143322475569</v>
      </c>
      <c r="AF121" s="23">
        <v>0.24191599999999999</v>
      </c>
      <c r="AG121" s="23">
        <v>3.2454499999999999</v>
      </c>
      <c r="AH121" s="23">
        <v>0.26884200000000003</v>
      </c>
      <c r="AI121" s="25">
        <v>42</v>
      </c>
      <c r="AJ121" s="26">
        <v>3</v>
      </c>
      <c r="AK121" s="26">
        <v>7</v>
      </c>
      <c r="AL121" s="27">
        <v>15</v>
      </c>
      <c r="AM121" s="27">
        <v>11</v>
      </c>
      <c r="AN121" s="27">
        <f t="shared" si="96"/>
        <v>165</v>
      </c>
      <c r="AO121" s="28">
        <f t="shared" si="100"/>
        <v>97.346230158730151</v>
      </c>
      <c r="AP121" s="28">
        <f t="shared" si="97"/>
        <v>92.801302931596069</v>
      </c>
      <c r="AQ121" s="28">
        <f t="shared" si="101"/>
        <v>108.88315465328466</v>
      </c>
      <c r="AR121" s="28">
        <f t="shared" si="98"/>
        <v>91.164325842696627</v>
      </c>
      <c r="AS121" s="28">
        <f t="shared" si="102"/>
        <v>101.20481927710843</v>
      </c>
      <c r="AT121" s="28">
        <f t="shared" si="99"/>
        <v>97.89410766084535</v>
      </c>
      <c r="AV121" s="30"/>
      <c r="AW121" s="30"/>
      <c r="AX121" s="30"/>
      <c r="AY121" s="29"/>
      <c r="AZ121" s="30"/>
      <c r="BA121" s="30"/>
      <c r="BB121" s="29"/>
      <c r="BC121" s="30"/>
      <c r="BD121" s="30"/>
      <c r="BE121" s="30"/>
      <c r="BF121" s="30"/>
      <c r="BG121" s="30"/>
      <c r="BH121" s="29"/>
      <c r="BI121" s="30"/>
      <c r="BJ121" s="30"/>
      <c r="BK121" s="30"/>
      <c r="BL121" s="29"/>
      <c r="BM121" s="30"/>
      <c r="BN121" s="29"/>
      <c r="BO121" s="30"/>
      <c r="BP121" s="30"/>
      <c r="BQ121" s="30"/>
      <c r="BR121" s="30"/>
      <c r="BS121" s="31"/>
      <c r="BT121" s="30"/>
      <c r="BU121" s="30"/>
    </row>
    <row r="122" spans="1:251" ht="15.75" x14ac:dyDescent="0.25">
      <c r="A122" s="11">
        <v>31</v>
      </c>
      <c r="B122" s="11" t="s">
        <v>52</v>
      </c>
      <c r="C122" s="11" t="s">
        <v>174</v>
      </c>
      <c r="D122" s="32" t="s">
        <v>103</v>
      </c>
      <c r="E122" s="33" t="s">
        <v>94</v>
      </c>
      <c r="F122" s="11" t="s">
        <v>59</v>
      </c>
      <c r="G122" s="13">
        <v>42635</v>
      </c>
      <c r="I122" s="13">
        <v>43041</v>
      </c>
      <c r="J122" s="14">
        <v>43152</v>
      </c>
      <c r="K122" s="37">
        <v>106</v>
      </c>
      <c r="L122" s="16">
        <f t="shared" si="67"/>
        <v>517</v>
      </c>
      <c r="M122" s="16">
        <v>1050</v>
      </c>
      <c r="N122" s="16">
        <v>1115</v>
      </c>
      <c r="O122" s="16">
        <v>1165</v>
      </c>
      <c r="P122" s="17">
        <f t="shared" si="88"/>
        <v>1140</v>
      </c>
      <c r="U122" s="18">
        <v>1460</v>
      </c>
      <c r="V122" s="17">
        <v>1440</v>
      </c>
      <c r="W122" s="17">
        <v>1465</v>
      </c>
      <c r="X122" s="17">
        <f t="shared" si="90"/>
        <v>1452.5</v>
      </c>
      <c r="Y122" s="20">
        <f t="shared" si="91"/>
        <v>2.8094777562862667</v>
      </c>
      <c r="Z122" s="17">
        <f t="shared" si="92"/>
        <v>312.5</v>
      </c>
      <c r="AA122" s="20">
        <f t="shared" si="93"/>
        <v>2.7901785714285716</v>
      </c>
      <c r="AB122" s="21">
        <v>54</v>
      </c>
      <c r="AC122" s="22">
        <f t="shared" si="94"/>
        <v>5.9884780300000005</v>
      </c>
      <c r="AD122" s="23">
        <v>15.389900000000001</v>
      </c>
      <c r="AE122" s="24">
        <f t="shared" si="95"/>
        <v>1.0541027397260274</v>
      </c>
      <c r="AF122" s="23">
        <v>0.29612100000000002</v>
      </c>
      <c r="AG122" s="23">
        <v>4.09985</v>
      </c>
      <c r="AH122" s="23">
        <v>0.30080499999999999</v>
      </c>
      <c r="AI122" s="25">
        <v>44.5</v>
      </c>
      <c r="AJ122" s="26">
        <v>2</v>
      </c>
      <c r="AK122" s="26">
        <v>6</v>
      </c>
      <c r="AL122" s="27">
        <v>16.5</v>
      </c>
      <c r="AM122" s="27">
        <v>14</v>
      </c>
      <c r="AN122" s="27">
        <f t="shared" si="96"/>
        <v>231</v>
      </c>
      <c r="AO122" s="28">
        <f t="shared" si="100"/>
        <v>77.504960317460331</v>
      </c>
      <c r="AP122" s="28">
        <f t="shared" si="97"/>
        <v>95.82752179327521</v>
      </c>
      <c r="AQ122" s="28">
        <f t="shared" si="101"/>
        <v>102.53568453599513</v>
      </c>
      <c r="AR122" s="28">
        <f t="shared" si="98"/>
        <v>115.16432584269663</v>
      </c>
      <c r="AS122" s="28">
        <f t="shared" si="102"/>
        <v>107.22891566265061</v>
      </c>
      <c r="AT122" s="28">
        <f t="shared" si="99"/>
        <v>96.679886095896563</v>
      </c>
      <c r="AU122" s="35"/>
    </row>
    <row r="123" spans="1:251" x14ac:dyDescent="0.2">
      <c r="A123" s="11">
        <v>53</v>
      </c>
      <c r="B123" s="11" t="s">
        <v>52</v>
      </c>
      <c r="C123" s="11" t="s">
        <v>174</v>
      </c>
      <c r="D123" s="11" t="s">
        <v>117</v>
      </c>
      <c r="E123" s="12" t="s">
        <v>120</v>
      </c>
      <c r="F123" s="11" t="s">
        <v>59</v>
      </c>
      <c r="G123" s="13">
        <v>42615</v>
      </c>
      <c r="I123" s="13">
        <v>43041</v>
      </c>
      <c r="J123" s="14">
        <v>43152</v>
      </c>
      <c r="K123" s="15">
        <v>111</v>
      </c>
      <c r="L123" s="16">
        <f t="shared" si="67"/>
        <v>537</v>
      </c>
      <c r="M123" s="16">
        <v>740</v>
      </c>
      <c r="N123" s="16">
        <v>798</v>
      </c>
      <c r="O123" s="16">
        <v>830</v>
      </c>
      <c r="P123" s="17">
        <f t="shared" si="88"/>
        <v>814</v>
      </c>
      <c r="U123" s="18">
        <v>1285</v>
      </c>
      <c r="V123" s="17">
        <v>1320</v>
      </c>
      <c r="W123" s="19">
        <v>1255</v>
      </c>
      <c r="X123" s="17">
        <f t="shared" si="90"/>
        <v>1287.5</v>
      </c>
      <c r="Y123" s="20">
        <f t="shared" si="91"/>
        <v>2.3975791433891991</v>
      </c>
      <c r="Z123" s="17">
        <f t="shared" si="92"/>
        <v>473.5</v>
      </c>
      <c r="AA123" s="20">
        <f t="shared" si="93"/>
        <v>4.2276785714285712</v>
      </c>
      <c r="AB123" s="21">
        <v>54</v>
      </c>
      <c r="AC123" s="22">
        <f t="shared" si="94"/>
        <v>5.8569776300000012</v>
      </c>
      <c r="AD123" s="23">
        <v>14.5631</v>
      </c>
      <c r="AE123" s="24">
        <f t="shared" si="95"/>
        <v>1.1333151750972763</v>
      </c>
      <c r="AF123" s="23">
        <v>0.21918299999999999</v>
      </c>
      <c r="AG123" s="23">
        <v>2.5405600000000002</v>
      </c>
      <c r="AH123" s="23">
        <v>0.21357699999999999</v>
      </c>
      <c r="AI123" s="25">
        <v>37.5</v>
      </c>
      <c r="AJ123" s="26">
        <v>3</v>
      </c>
      <c r="AK123" s="26">
        <v>6</v>
      </c>
      <c r="AL123" s="27">
        <v>15</v>
      </c>
      <c r="AM123" s="27">
        <v>11</v>
      </c>
      <c r="AN123" s="27">
        <f t="shared" si="96"/>
        <v>165</v>
      </c>
      <c r="AO123" s="28">
        <f t="shared" si="100"/>
        <v>117.43551587301586</v>
      </c>
      <c r="AP123" s="28">
        <f t="shared" si="97"/>
        <v>103.02865228157057</v>
      </c>
      <c r="AQ123" s="28">
        <f t="shared" si="101"/>
        <v>87.50288844486127</v>
      </c>
      <c r="AR123" s="28">
        <f t="shared" si="98"/>
        <v>71.364044943820232</v>
      </c>
      <c r="AS123" s="28">
        <f t="shared" si="102"/>
        <v>90.361445783132538</v>
      </c>
      <c r="AT123" s="28">
        <f t="shared" si="99"/>
        <v>96.645916474268446</v>
      </c>
      <c r="AV123" s="30"/>
      <c r="AW123" s="30"/>
      <c r="AX123" s="30"/>
      <c r="AY123" s="29"/>
      <c r="AZ123" s="30"/>
      <c r="BA123" s="30"/>
      <c r="BC123" s="30"/>
      <c r="BD123" s="30"/>
      <c r="BE123" s="30"/>
      <c r="BF123" s="30"/>
      <c r="BG123" s="30"/>
      <c r="BH123" s="29"/>
      <c r="BI123" s="30"/>
      <c r="BJ123" s="30"/>
      <c r="BK123" s="30"/>
      <c r="BL123" s="29"/>
      <c r="BM123" s="30"/>
      <c r="BN123" s="29"/>
      <c r="BO123" s="30"/>
      <c r="BP123" s="30"/>
      <c r="BQ123" s="30"/>
      <c r="BR123" s="30"/>
      <c r="BS123" s="31"/>
      <c r="BT123" s="30"/>
      <c r="BU123" s="30"/>
    </row>
    <row r="124" spans="1:251" x14ac:dyDescent="0.2">
      <c r="A124" s="11">
        <v>64</v>
      </c>
      <c r="B124" s="11" t="s">
        <v>52</v>
      </c>
      <c r="C124" s="11" t="s">
        <v>174</v>
      </c>
      <c r="D124" s="46" t="s">
        <v>131</v>
      </c>
      <c r="E124" s="12" t="s">
        <v>132</v>
      </c>
      <c r="F124" s="11" t="s">
        <v>59</v>
      </c>
      <c r="G124" s="13">
        <v>42644</v>
      </c>
      <c r="I124" s="13">
        <v>43041</v>
      </c>
      <c r="J124" s="14">
        <v>43152</v>
      </c>
      <c r="K124" s="15">
        <v>113</v>
      </c>
      <c r="L124" s="16">
        <f t="shared" si="67"/>
        <v>508</v>
      </c>
      <c r="M124" s="16">
        <v>906</v>
      </c>
      <c r="N124" s="11">
        <v>896</v>
      </c>
      <c r="O124" s="16">
        <v>912</v>
      </c>
      <c r="P124" s="17">
        <f t="shared" si="88"/>
        <v>904</v>
      </c>
      <c r="U124" s="18">
        <v>1230</v>
      </c>
      <c r="V124" s="15">
        <v>1220</v>
      </c>
      <c r="W124" s="19">
        <v>1225</v>
      </c>
      <c r="X124" s="17">
        <f t="shared" si="90"/>
        <v>1222.5</v>
      </c>
      <c r="Y124" s="20">
        <f t="shared" si="91"/>
        <v>2.4064960629921259</v>
      </c>
      <c r="Z124" s="17">
        <f t="shared" si="92"/>
        <v>318.5</v>
      </c>
      <c r="AA124" s="20">
        <f t="shared" si="93"/>
        <v>2.84375</v>
      </c>
      <c r="AB124" s="21">
        <v>53.5</v>
      </c>
      <c r="AC124" s="22">
        <f t="shared" si="94"/>
        <v>5.8003512800000019</v>
      </c>
      <c r="AD124" s="23">
        <v>14.822900000000001</v>
      </c>
      <c r="AE124" s="24">
        <f t="shared" si="95"/>
        <v>1.2051138211382115</v>
      </c>
      <c r="AF124" s="23">
        <v>0.244917</v>
      </c>
      <c r="AG124" s="23">
        <v>3.55253</v>
      </c>
      <c r="AH124" s="23">
        <v>0.26641399999999998</v>
      </c>
      <c r="AI124" s="25">
        <v>41.5</v>
      </c>
      <c r="AJ124" s="26">
        <v>1</v>
      </c>
      <c r="AK124" s="26">
        <v>6</v>
      </c>
      <c r="AL124" s="27">
        <v>16</v>
      </c>
      <c r="AM124" s="27">
        <v>13</v>
      </c>
      <c r="AN124" s="27">
        <f t="shared" si="96"/>
        <v>208</v>
      </c>
      <c r="AO124" s="28">
        <f t="shared" si="100"/>
        <v>78.993055555555557</v>
      </c>
      <c r="AP124" s="28">
        <f t="shared" si="97"/>
        <v>109.55580192165559</v>
      </c>
      <c r="AQ124" s="28">
        <f t="shared" si="101"/>
        <v>87.828323466865896</v>
      </c>
      <c r="AR124" s="28">
        <f t="shared" si="98"/>
        <v>99.790168539325848</v>
      </c>
      <c r="AS124" s="28">
        <f t="shared" si="102"/>
        <v>100</v>
      </c>
      <c r="AT124" s="28">
        <f t="shared" si="99"/>
        <v>93.132775452236132</v>
      </c>
      <c r="AV124" s="30"/>
      <c r="AW124" s="30"/>
      <c r="AX124" s="30"/>
      <c r="AY124" s="29"/>
      <c r="AZ124" s="30"/>
      <c r="BA124" s="30"/>
      <c r="BC124" s="30"/>
      <c r="BD124" s="30"/>
      <c r="BE124" s="30"/>
      <c r="BF124" s="30"/>
      <c r="BG124" s="30"/>
      <c r="BH124" s="29"/>
      <c r="BI124" s="30"/>
      <c r="BJ124" s="30"/>
      <c r="BK124" s="30"/>
      <c r="BL124" s="29"/>
      <c r="BM124" s="30"/>
      <c r="BN124" s="29"/>
      <c r="BO124" s="30"/>
      <c r="BP124" s="30"/>
      <c r="BQ124" s="30"/>
      <c r="BR124" s="30"/>
      <c r="BS124" s="31"/>
      <c r="BT124" s="30"/>
      <c r="BU124" s="30"/>
    </row>
    <row r="125" spans="1:251" s="35" customFormat="1" ht="15.75" x14ac:dyDescent="0.25">
      <c r="D125" s="80" t="s">
        <v>185</v>
      </c>
      <c r="E125" s="50"/>
      <c r="G125" s="51"/>
      <c r="H125" s="51"/>
      <c r="I125" s="51"/>
      <c r="J125" s="52"/>
      <c r="K125" s="53"/>
      <c r="L125" s="54"/>
      <c r="M125" s="54"/>
      <c r="O125" s="54"/>
      <c r="P125" s="59"/>
      <c r="Q125" s="59"/>
      <c r="R125" s="59"/>
      <c r="S125" s="59"/>
      <c r="T125" s="59"/>
      <c r="U125" s="67"/>
      <c r="V125" s="53"/>
      <c r="W125" s="68"/>
      <c r="X125" s="59"/>
      <c r="Y125" s="65">
        <f>AVERAGE(Y111:Y124)</f>
        <v>2.7407872515007696</v>
      </c>
      <c r="Z125" s="59"/>
      <c r="AA125" s="65">
        <f>AVERAGE(AA111:AA124)</f>
        <v>3.6036352040816317</v>
      </c>
      <c r="AB125" s="69"/>
      <c r="AC125" s="61"/>
      <c r="AD125" s="66"/>
      <c r="AE125" s="65">
        <f>AVERAGE(AE111:AE124)</f>
        <v>1.0967671385449242</v>
      </c>
      <c r="AF125" s="66"/>
      <c r="AG125" s="65">
        <f>AVERAGE(AG111:AG124)</f>
        <v>3.5588549999999999</v>
      </c>
      <c r="AH125" s="66"/>
      <c r="AI125" s="65">
        <f>AVERAGE(AI111:AI124)</f>
        <v>41.535714285714285</v>
      </c>
      <c r="AJ125" s="70"/>
      <c r="AK125" s="70"/>
      <c r="AL125" s="71"/>
      <c r="AM125" s="71"/>
      <c r="AN125" s="71"/>
      <c r="AO125" s="65">
        <f t="shared" ref="AO125:AT125" si="103">AVERAGE(AO111:AO124)</f>
        <v>100.10097789115648</v>
      </c>
      <c r="AP125" s="65">
        <f t="shared" si="103"/>
        <v>99.706103504084012</v>
      </c>
      <c r="AQ125" s="65">
        <f t="shared" si="103"/>
        <v>100.02873180659742</v>
      </c>
      <c r="AR125" s="65">
        <f t="shared" si="103"/>
        <v>99.967837078651684</v>
      </c>
      <c r="AS125" s="65">
        <f t="shared" si="103"/>
        <v>100.08605851979347</v>
      </c>
      <c r="AT125" s="65">
        <f t="shared" si="103"/>
        <v>99.979433697192903</v>
      </c>
      <c r="AV125" s="73"/>
      <c r="AW125" s="73"/>
      <c r="AX125" s="73"/>
      <c r="AY125" s="72"/>
      <c r="AZ125" s="73"/>
      <c r="BA125" s="73"/>
      <c r="BB125" s="54"/>
      <c r="BC125" s="73"/>
      <c r="BD125" s="73"/>
      <c r="BE125" s="73"/>
      <c r="BF125" s="73"/>
      <c r="BG125" s="73"/>
      <c r="BH125" s="72"/>
      <c r="BI125" s="73"/>
      <c r="BJ125" s="73"/>
      <c r="BK125" s="73"/>
      <c r="BL125" s="72"/>
      <c r="BM125" s="73"/>
      <c r="BN125" s="72"/>
      <c r="BO125" s="73"/>
      <c r="BP125" s="73"/>
      <c r="BQ125" s="73"/>
      <c r="BR125" s="73"/>
      <c r="BS125" s="74"/>
      <c r="BT125" s="73"/>
      <c r="BU125" s="73"/>
    </row>
    <row r="126" spans="1:251" x14ac:dyDescent="0.2">
      <c r="D126" s="79"/>
      <c r="J126" s="14"/>
      <c r="M126" s="16"/>
      <c r="N126" s="11"/>
      <c r="U126" s="18"/>
      <c r="V126" s="15"/>
      <c r="W126" s="19"/>
      <c r="AD126" s="23"/>
      <c r="AF126" s="23"/>
      <c r="AG126" s="23"/>
      <c r="AH126" s="23"/>
      <c r="AV126" s="30"/>
      <c r="AW126" s="30"/>
      <c r="AX126" s="30"/>
      <c r="AY126" s="29"/>
      <c r="AZ126" s="30"/>
      <c r="BA126" s="30"/>
      <c r="BC126" s="30"/>
      <c r="BD126" s="30"/>
      <c r="BE126" s="30"/>
      <c r="BF126" s="30"/>
      <c r="BG126" s="30"/>
      <c r="BH126" s="29"/>
      <c r="BI126" s="30"/>
      <c r="BJ126" s="30"/>
      <c r="BK126" s="30"/>
      <c r="BL126" s="29"/>
      <c r="BM126" s="30"/>
      <c r="BN126" s="29"/>
      <c r="BO126" s="30"/>
      <c r="BP126" s="30"/>
      <c r="BQ126" s="30"/>
      <c r="BR126" s="30"/>
      <c r="BS126" s="31"/>
      <c r="BT126" s="30"/>
      <c r="BU126" s="30"/>
    </row>
    <row r="127" spans="1:251" ht="15.75" x14ac:dyDescent="0.25">
      <c r="A127" s="11">
        <v>88</v>
      </c>
      <c r="B127" s="11" t="s">
        <v>52</v>
      </c>
      <c r="C127" s="11" t="s">
        <v>174</v>
      </c>
      <c r="D127" s="11" t="s">
        <v>155</v>
      </c>
      <c r="E127" s="12" t="s">
        <v>160</v>
      </c>
      <c r="F127" s="11" t="s">
        <v>163</v>
      </c>
      <c r="G127" s="13">
        <v>42614</v>
      </c>
      <c r="I127" s="13">
        <v>43041</v>
      </c>
      <c r="J127" s="14">
        <v>43152</v>
      </c>
      <c r="K127" s="15">
        <v>120</v>
      </c>
      <c r="L127" s="16">
        <f>J127-G127</f>
        <v>538</v>
      </c>
      <c r="M127" s="16">
        <v>884</v>
      </c>
      <c r="N127" s="16">
        <v>900</v>
      </c>
      <c r="O127" s="16">
        <v>962</v>
      </c>
      <c r="P127" s="17">
        <f>AVERAGE(N127:O127)</f>
        <v>931</v>
      </c>
      <c r="U127" s="18">
        <v>1545</v>
      </c>
      <c r="V127" s="17">
        <v>1535</v>
      </c>
      <c r="W127" s="19">
        <v>1560</v>
      </c>
      <c r="X127" s="17">
        <f>(V127+W127)/2</f>
        <v>1547.5</v>
      </c>
      <c r="Y127" s="20">
        <f>(X127/L127)</f>
        <v>2.8763940520446099</v>
      </c>
      <c r="Z127" s="17">
        <f>(X127-P127)</f>
        <v>616.5</v>
      </c>
      <c r="AA127" s="20">
        <f>(Z127/112)</f>
        <v>5.5044642857142856</v>
      </c>
      <c r="AB127" s="21">
        <v>55</v>
      </c>
      <c r="AC127" s="22">
        <f>-11.548+0.4878*(AB127)-0.0289*(L127)+0.00001947*(L127*L127)+0.0000334*(AB127*L127)</f>
        <v>6.3565806800000013</v>
      </c>
      <c r="AD127" s="23">
        <v>16.184699999999999</v>
      </c>
      <c r="AE127" s="24">
        <f>AD127/U127*100</f>
        <v>1.0475533980582523</v>
      </c>
      <c r="AF127" s="23">
        <v>0.22189300000000001</v>
      </c>
      <c r="AG127" s="23">
        <v>3.7476600000000002</v>
      </c>
      <c r="AH127" s="23">
        <v>0.16234399999999999</v>
      </c>
      <c r="AI127" s="25">
        <v>43.5</v>
      </c>
      <c r="AJ127" s="26">
        <v>1</v>
      </c>
      <c r="AK127" s="26">
        <v>7</v>
      </c>
      <c r="AL127" s="27">
        <v>14.5</v>
      </c>
      <c r="AM127" s="27">
        <v>12</v>
      </c>
      <c r="AN127" s="27">
        <f>(AL127*AM127)</f>
        <v>174</v>
      </c>
      <c r="AO127" s="28">
        <f>(AA127/3.62)*100</f>
        <v>152.05702446724544</v>
      </c>
      <c r="AP127" s="28">
        <f>(AE127/1.1)*100</f>
        <v>95.232127096204749</v>
      </c>
      <c r="AQ127" s="28">
        <f>(Y127/2.65)*100</f>
        <v>108.54317177526831</v>
      </c>
      <c r="AR127" s="28">
        <f>(AG127/3.56)*100</f>
        <v>105.27134831460674</v>
      </c>
      <c r="AS127" s="28">
        <f>(AI127/40.1)*100</f>
        <v>108.47880299251871</v>
      </c>
      <c r="AT127" s="28">
        <f>(AO127*0.3)+(AP127*0.2)+(AQ127*0.2)+(AR127*0.2)+(AS127*0.1)</f>
        <v>118.27431707664147</v>
      </c>
      <c r="AU127" s="35"/>
    </row>
    <row r="128" spans="1:251" x14ac:dyDescent="0.2">
      <c r="A128" s="16">
        <v>82</v>
      </c>
      <c r="B128" s="11" t="s">
        <v>52</v>
      </c>
      <c r="C128" s="11" t="s">
        <v>174</v>
      </c>
      <c r="D128" s="47" t="s">
        <v>67</v>
      </c>
      <c r="E128" s="12">
        <v>93</v>
      </c>
      <c r="F128" s="11" t="s">
        <v>154</v>
      </c>
      <c r="G128" s="13">
        <v>42723</v>
      </c>
      <c r="I128" s="13">
        <v>43041</v>
      </c>
      <c r="J128" s="14">
        <v>43152</v>
      </c>
      <c r="K128" s="15">
        <v>119</v>
      </c>
      <c r="L128" s="16">
        <f t="shared" si="67"/>
        <v>429</v>
      </c>
      <c r="M128" s="16">
        <v>590</v>
      </c>
      <c r="N128" s="16">
        <v>632</v>
      </c>
      <c r="O128" s="16">
        <v>648</v>
      </c>
      <c r="P128" s="17">
        <f t="shared" si="88"/>
        <v>640</v>
      </c>
      <c r="U128" s="18">
        <v>1025</v>
      </c>
      <c r="V128" s="17">
        <v>1025</v>
      </c>
      <c r="W128" s="17">
        <v>1030</v>
      </c>
      <c r="X128" s="17">
        <f t="shared" si="90"/>
        <v>1027.5</v>
      </c>
      <c r="Y128" s="20">
        <f t="shared" si="91"/>
        <v>2.395104895104895</v>
      </c>
      <c r="Z128" s="17">
        <f t="shared" si="92"/>
        <v>387.5</v>
      </c>
      <c r="AA128" s="20">
        <f t="shared" si="93"/>
        <v>3.4598214285714284</v>
      </c>
      <c r="AB128" s="21">
        <v>50.5</v>
      </c>
      <c r="AC128" s="22">
        <f t="shared" si="94"/>
        <v>4.9946725700000014</v>
      </c>
      <c r="AD128" s="23">
        <v>11.5145</v>
      </c>
      <c r="AE128" s="24">
        <f t="shared" si="95"/>
        <v>1.1233658536585365</v>
      </c>
      <c r="AF128" s="23">
        <v>0.16136</v>
      </c>
      <c r="AG128" s="23">
        <v>4.1168699999999996</v>
      </c>
      <c r="AH128" s="23">
        <v>0.21357200000000001</v>
      </c>
      <c r="AI128" s="25">
        <v>37</v>
      </c>
      <c r="AJ128" s="26">
        <v>1</v>
      </c>
      <c r="AK128" s="26">
        <v>6</v>
      </c>
      <c r="AL128" s="27">
        <v>14.5</v>
      </c>
      <c r="AM128" s="27">
        <v>12</v>
      </c>
      <c r="AN128" s="27">
        <f t="shared" si="96"/>
        <v>174</v>
      </c>
      <c r="AO128" s="28">
        <f t="shared" ref="AO128" si="104">(AA128/3.62)*100</f>
        <v>95.575177584846088</v>
      </c>
      <c r="AP128" s="28">
        <f t="shared" si="97"/>
        <v>102.12416851441239</v>
      </c>
      <c r="AQ128" s="28">
        <f t="shared" ref="AQ128" si="105">(Y128/2.65)*100</f>
        <v>90.381316796411141</v>
      </c>
      <c r="AR128" s="28">
        <f t="shared" si="98"/>
        <v>115.64241573033706</v>
      </c>
      <c r="AS128" s="28">
        <f t="shared" ref="AS128" si="106">(AI128/40.1)*100</f>
        <v>92.269326683291766</v>
      </c>
      <c r="AT128" s="28">
        <f t="shared" si="99"/>
        <v>99.529066152015133</v>
      </c>
    </row>
    <row r="129" spans="1:251" x14ac:dyDescent="0.2">
      <c r="A129" s="16"/>
      <c r="D129" s="45"/>
      <c r="J129" s="14"/>
      <c r="M129" s="16"/>
      <c r="U129" s="18"/>
      <c r="AD129" s="23"/>
      <c r="AF129" s="23"/>
      <c r="AG129" s="23"/>
      <c r="AH129" s="23"/>
    </row>
    <row r="130" spans="1:251" s="44" customFormat="1" x14ac:dyDescent="0.2">
      <c r="D130" s="76"/>
      <c r="E130" s="63"/>
      <c r="G130" s="28"/>
      <c r="H130" s="28"/>
      <c r="I130" s="28"/>
      <c r="J130" s="64"/>
      <c r="K130" s="24"/>
      <c r="AO130" s="28"/>
      <c r="AP130" s="28"/>
      <c r="AQ130" s="28"/>
      <c r="AR130" s="28"/>
      <c r="AS130" s="28"/>
      <c r="AT130" s="28"/>
    </row>
    <row r="131" spans="1:251" s="38" customFormat="1" ht="15.75" x14ac:dyDescent="0.25">
      <c r="D131" s="77" t="s">
        <v>188</v>
      </c>
      <c r="E131" s="39"/>
      <c r="G131" s="40"/>
      <c r="H131" s="40"/>
      <c r="I131" s="40"/>
      <c r="J131" s="41"/>
      <c r="K131" s="42"/>
      <c r="M131" s="38">
        <v>859.4</v>
      </c>
      <c r="N131" s="38">
        <v>886.44</v>
      </c>
      <c r="O131" s="38">
        <v>908.72</v>
      </c>
      <c r="P131" s="65">
        <v>897.67</v>
      </c>
      <c r="Q131" s="65"/>
      <c r="R131" s="65"/>
      <c r="S131" s="65"/>
      <c r="T131" s="65"/>
      <c r="U131" s="66">
        <v>1313.48</v>
      </c>
      <c r="V131" s="65">
        <v>1311.52</v>
      </c>
      <c r="W131" s="65">
        <v>1308.6400000000001</v>
      </c>
      <c r="X131" s="65">
        <v>1310.08</v>
      </c>
      <c r="Y131" s="65">
        <v>2.65</v>
      </c>
      <c r="Z131" s="65">
        <v>405.86</v>
      </c>
      <c r="AA131" s="65">
        <v>3.62</v>
      </c>
      <c r="AB131" s="65">
        <v>53.82</v>
      </c>
      <c r="AC131" s="42">
        <v>6.09</v>
      </c>
      <c r="AD131" s="66">
        <v>14.36</v>
      </c>
      <c r="AE131" s="42">
        <v>1.1000000000000001</v>
      </c>
      <c r="AF131" s="66">
        <v>0.24</v>
      </c>
      <c r="AG131" s="66">
        <v>3.56</v>
      </c>
      <c r="AH131" s="66">
        <v>0.3</v>
      </c>
      <c r="AI131" s="38">
        <v>40.08</v>
      </c>
      <c r="AJ131" s="40">
        <v>2.61</v>
      </c>
      <c r="AK131" s="40">
        <v>6.58</v>
      </c>
      <c r="AL131" s="40">
        <v>15.48</v>
      </c>
      <c r="AM131" s="40">
        <v>12.18</v>
      </c>
      <c r="AN131" s="40">
        <v>189.11</v>
      </c>
      <c r="AO131" s="40"/>
      <c r="AP131" s="40"/>
      <c r="AQ131" s="40"/>
      <c r="AR131" s="40"/>
      <c r="AS131" s="40"/>
      <c r="AT131" s="40"/>
    </row>
    <row r="132" spans="1:251" x14ac:dyDescent="0.2">
      <c r="A132" s="16"/>
      <c r="D132" s="45"/>
      <c r="J132" s="14"/>
      <c r="M132" s="16"/>
      <c r="U132" s="18"/>
      <c r="AD132" s="23"/>
      <c r="AF132" s="23"/>
      <c r="AG132" s="23"/>
      <c r="AH132" s="23"/>
    </row>
    <row r="133" spans="1:251" x14ac:dyDescent="0.2">
      <c r="A133" s="16"/>
      <c r="D133" s="45"/>
      <c r="J133" s="14"/>
      <c r="M133" s="16"/>
      <c r="U133" s="18"/>
      <c r="AD133" s="23"/>
      <c r="AF133" s="23"/>
      <c r="AG133" s="23"/>
      <c r="AH133" s="23"/>
    </row>
    <row r="134" spans="1:251" x14ac:dyDescent="0.2">
      <c r="A134" s="11">
        <v>21</v>
      </c>
      <c r="B134" s="11" t="s">
        <v>63</v>
      </c>
      <c r="C134" s="11" t="s">
        <v>171</v>
      </c>
      <c r="D134" s="32" t="s">
        <v>64</v>
      </c>
      <c r="E134" s="12" t="s">
        <v>55</v>
      </c>
      <c r="F134" s="11" t="s">
        <v>50</v>
      </c>
      <c r="G134" s="13">
        <v>42429</v>
      </c>
      <c r="I134" s="13">
        <v>43041</v>
      </c>
      <c r="J134" s="14">
        <v>43152</v>
      </c>
      <c r="K134" s="15">
        <v>102</v>
      </c>
      <c r="L134" s="16">
        <f t="shared" si="67"/>
        <v>723</v>
      </c>
      <c r="M134" s="16">
        <v>1225</v>
      </c>
      <c r="N134" s="11">
        <v>1235</v>
      </c>
      <c r="O134" s="16">
        <v>1350</v>
      </c>
      <c r="P134" s="17">
        <f t="shared" si="88"/>
        <v>1292.5</v>
      </c>
      <c r="U134" s="18">
        <v>1970</v>
      </c>
      <c r="V134" s="15">
        <v>1995</v>
      </c>
      <c r="W134" s="17">
        <v>1980</v>
      </c>
      <c r="X134" s="17">
        <f t="shared" si="90"/>
        <v>1987.5</v>
      </c>
      <c r="Y134" s="20">
        <f t="shared" si="91"/>
        <v>2.7489626556016598</v>
      </c>
      <c r="Z134" s="17">
        <f t="shared" si="92"/>
        <v>695</v>
      </c>
      <c r="AA134" s="20">
        <f t="shared" si="93"/>
        <v>6.2053571428571432</v>
      </c>
      <c r="AB134" s="21">
        <v>57</v>
      </c>
      <c r="AC134" s="22">
        <f t="shared" si="94"/>
        <v>6.9158810299999995</v>
      </c>
      <c r="AD134" s="23">
        <v>18.295100000000001</v>
      </c>
      <c r="AE134" s="24">
        <f t="shared" si="95"/>
        <v>0.9286852791878174</v>
      </c>
      <c r="AF134" s="23">
        <v>0.418852</v>
      </c>
      <c r="AG134" s="23">
        <v>3.93222</v>
      </c>
      <c r="AH134" s="23">
        <v>0.44183800000000001</v>
      </c>
      <c r="AI134" s="25">
        <v>40.5</v>
      </c>
      <c r="AJ134" s="26">
        <v>2</v>
      </c>
      <c r="AK134" s="26">
        <v>7</v>
      </c>
      <c r="AL134" s="27">
        <v>17</v>
      </c>
      <c r="AM134" s="27">
        <v>13</v>
      </c>
      <c r="AN134" s="27">
        <f t="shared" si="96"/>
        <v>221</v>
      </c>
      <c r="AO134" s="28">
        <f>(AA134/5.39)*100</f>
        <v>115.12721971905646</v>
      </c>
      <c r="AP134" s="28">
        <f>(AE134/0.93)*100</f>
        <v>99.858632170733046</v>
      </c>
      <c r="AQ134" s="28">
        <f>(Y134/2.59)*100</f>
        <v>106.13755427033436</v>
      </c>
      <c r="AR134" s="28">
        <f>(AG134/3.56)*100</f>
        <v>110.45561797752809</v>
      </c>
      <c r="AS134" s="28">
        <f>(AI134/44.1)*100</f>
        <v>91.83673469387756</v>
      </c>
      <c r="AT134" s="28">
        <f t="shared" si="99"/>
        <v>107.0122002688238</v>
      </c>
      <c r="AU134" s="11" t="s">
        <v>210</v>
      </c>
      <c r="AV134" s="30"/>
      <c r="AW134" s="30"/>
      <c r="AX134" s="30"/>
      <c r="AY134" s="29"/>
      <c r="AZ134" s="30"/>
      <c r="BA134" s="30"/>
      <c r="BB134" s="29"/>
      <c r="BC134" s="30"/>
      <c r="BD134" s="30"/>
      <c r="BE134" s="30"/>
      <c r="BF134" s="30"/>
      <c r="BG134" s="30"/>
      <c r="BH134" s="29"/>
      <c r="BI134" s="30"/>
      <c r="BJ134" s="30"/>
      <c r="BK134" s="30"/>
      <c r="BL134" s="29"/>
      <c r="BM134" s="30"/>
      <c r="BN134" s="29"/>
      <c r="BO134" s="30"/>
      <c r="BP134" s="30"/>
      <c r="BQ134" s="30"/>
      <c r="BR134" s="30"/>
      <c r="BS134" s="31"/>
      <c r="BT134" s="30"/>
      <c r="BU134" s="30"/>
    </row>
    <row r="135" spans="1:251" x14ac:dyDescent="0.2">
      <c r="A135" s="11">
        <v>18</v>
      </c>
      <c r="B135" s="11" t="s">
        <v>63</v>
      </c>
      <c r="C135" s="11" t="s">
        <v>171</v>
      </c>
      <c r="D135" s="32" t="s">
        <v>64</v>
      </c>
      <c r="E135" s="12" t="s">
        <v>56</v>
      </c>
      <c r="F135" s="11" t="s">
        <v>50</v>
      </c>
      <c r="G135" s="13">
        <v>42416</v>
      </c>
      <c r="I135" s="13">
        <v>43041</v>
      </c>
      <c r="J135" s="14">
        <v>43152</v>
      </c>
      <c r="K135" s="15">
        <v>102</v>
      </c>
      <c r="L135" s="16">
        <f t="shared" si="67"/>
        <v>736</v>
      </c>
      <c r="M135" s="16">
        <v>1280</v>
      </c>
      <c r="N135" s="16">
        <v>1380</v>
      </c>
      <c r="O135" s="16">
        <v>1475</v>
      </c>
      <c r="P135" s="17">
        <f t="shared" si="88"/>
        <v>1427.5</v>
      </c>
      <c r="U135" s="18">
        <v>2020</v>
      </c>
      <c r="V135" s="17">
        <v>2050</v>
      </c>
      <c r="W135" s="19">
        <v>2050</v>
      </c>
      <c r="X135" s="17">
        <f t="shared" si="90"/>
        <v>2050</v>
      </c>
      <c r="Y135" s="20">
        <f t="shared" si="91"/>
        <v>2.785326086956522</v>
      </c>
      <c r="Z135" s="17">
        <f t="shared" si="92"/>
        <v>622.5</v>
      </c>
      <c r="AA135" s="20">
        <f t="shared" si="93"/>
        <v>5.5580357142857144</v>
      </c>
      <c r="AB135" s="21">
        <v>57.5</v>
      </c>
      <c r="AC135" s="22">
        <f t="shared" si="94"/>
        <v>7.1904091200000044</v>
      </c>
      <c r="AD135" s="23">
        <v>19.174900000000001</v>
      </c>
      <c r="AE135" s="24">
        <f t="shared" si="95"/>
        <v>0.94925247524752476</v>
      </c>
      <c r="AF135" s="23">
        <v>0.48038399999999998</v>
      </c>
      <c r="AG135" s="23">
        <v>3.22858</v>
      </c>
      <c r="AH135" s="23">
        <v>0.83288600000000002</v>
      </c>
      <c r="AI135" s="25">
        <v>50</v>
      </c>
      <c r="AJ135" s="26">
        <v>2</v>
      </c>
      <c r="AK135" s="26">
        <v>7</v>
      </c>
      <c r="AL135" s="27">
        <v>16.5</v>
      </c>
      <c r="AM135" s="27">
        <v>13</v>
      </c>
      <c r="AN135" s="27">
        <f t="shared" si="96"/>
        <v>214.5</v>
      </c>
      <c r="AO135" s="28">
        <f t="shared" ref="AO135:AO137" si="107">(AA135/5.39)*100</f>
        <v>103.11754571958653</v>
      </c>
      <c r="AP135" s="28">
        <f t="shared" ref="AP135:AP137" si="108">(AE135/0.93)*100</f>
        <v>102.07015862876609</v>
      </c>
      <c r="AQ135" s="28">
        <f t="shared" ref="AQ135:AQ137" si="109">(Y135/2.59)*100</f>
        <v>107.54154775893907</v>
      </c>
      <c r="AR135" s="28">
        <f t="shared" ref="AR135:AR137" si="110">(AG135/3.56)*100</f>
        <v>90.690449438202251</v>
      </c>
      <c r="AS135" s="28">
        <f t="shared" ref="AS135:AS137" si="111">(AI135/44.1)*100</f>
        <v>113.37868480725623</v>
      </c>
      <c r="AT135" s="28">
        <f t="shared" si="99"/>
        <v>102.33356336178306</v>
      </c>
      <c r="AV135" s="30"/>
      <c r="AW135" s="30"/>
      <c r="AX135" s="30"/>
      <c r="AY135" s="29"/>
      <c r="AZ135" s="30"/>
      <c r="BA135" s="30"/>
      <c r="BB135" s="29"/>
      <c r="BC135" s="30"/>
      <c r="BD135" s="30"/>
      <c r="BE135" s="30"/>
      <c r="BF135" s="30"/>
      <c r="BG135" s="30"/>
      <c r="BH135" s="29"/>
      <c r="BI135" s="30"/>
      <c r="BJ135" s="30"/>
      <c r="BK135" s="30"/>
      <c r="BL135" s="29"/>
      <c r="BM135" s="30"/>
      <c r="BN135" s="29"/>
      <c r="BO135" s="30"/>
      <c r="BP135" s="30"/>
      <c r="BQ135" s="30"/>
      <c r="BR135" s="30"/>
      <c r="BS135" s="31"/>
      <c r="BT135" s="30"/>
      <c r="BU135" s="30"/>
    </row>
    <row r="136" spans="1:251" x14ac:dyDescent="0.2">
      <c r="A136" s="11">
        <v>19</v>
      </c>
      <c r="B136" s="11" t="s">
        <v>63</v>
      </c>
      <c r="C136" s="11" t="s">
        <v>171</v>
      </c>
      <c r="D136" s="32" t="s">
        <v>64</v>
      </c>
      <c r="E136" s="12" t="s">
        <v>57</v>
      </c>
      <c r="F136" s="11" t="s">
        <v>50</v>
      </c>
      <c r="G136" s="13">
        <v>42395</v>
      </c>
      <c r="I136" s="13">
        <v>43041</v>
      </c>
      <c r="J136" s="14">
        <v>43152</v>
      </c>
      <c r="K136" s="15">
        <v>102</v>
      </c>
      <c r="L136" s="16">
        <f t="shared" si="67"/>
        <v>757</v>
      </c>
      <c r="M136" s="16">
        <v>1230</v>
      </c>
      <c r="N136" s="16">
        <v>1265</v>
      </c>
      <c r="O136" s="16">
        <v>1345</v>
      </c>
      <c r="P136" s="17">
        <f t="shared" si="88"/>
        <v>1305</v>
      </c>
      <c r="U136" s="18">
        <v>1865</v>
      </c>
      <c r="V136" s="17">
        <v>1875</v>
      </c>
      <c r="W136" s="17">
        <v>1860</v>
      </c>
      <c r="X136" s="17">
        <f t="shared" si="90"/>
        <v>1867.5</v>
      </c>
      <c r="Y136" s="20">
        <f t="shared" si="91"/>
        <v>2.4669749009247028</v>
      </c>
      <c r="Z136" s="17">
        <f t="shared" si="92"/>
        <v>562.5</v>
      </c>
      <c r="AA136" s="20">
        <f t="shared" si="93"/>
        <v>5.0223214285714288</v>
      </c>
      <c r="AB136" s="21">
        <v>56</v>
      </c>
      <c r="AC136" s="22">
        <f t="shared" si="94"/>
        <v>6.4646568300000027</v>
      </c>
      <c r="AD136" s="23">
        <v>17.443300000000001</v>
      </c>
      <c r="AE136" s="24">
        <f t="shared" si="95"/>
        <v>0.93529758713136735</v>
      </c>
      <c r="AF136" s="23">
        <v>0.395065</v>
      </c>
      <c r="AG136" s="23">
        <v>3.7931499999999998</v>
      </c>
      <c r="AH136" s="23">
        <v>0.51768999999999998</v>
      </c>
      <c r="AI136" s="25">
        <v>43</v>
      </c>
      <c r="AJ136" s="26">
        <v>1</v>
      </c>
      <c r="AK136" s="26">
        <v>8</v>
      </c>
      <c r="AL136" s="27">
        <v>17.5</v>
      </c>
      <c r="AM136" s="27">
        <v>12</v>
      </c>
      <c r="AN136" s="27">
        <f t="shared" si="96"/>
        <v>210</v>
      </c>
      <c r="AO136" s="28">
        <f t="shared" si="107"/>
        <v>93.178505168301101</v>
      </c>
      <c r="AP136" s="28">
        <f t="shared" si="108"/>
        <v>100.5696330248782</v>
      </c>
      <c r="AQ136" s="28">
        <f t="shared" si="109"/>
        <v>95.249996174698964</v>
      </c>
      <c r="AR136" s="28">
        <f t="shared" si="110"/>
        <v>106.54915730337078</v>
      </c>
      <c r="AS136" s="28">
        <f t="shared" si="111"/>
        <v>97.505668934240362</v>
      </c>
      <c r="AT136" s="28">
        <f t="shared" si="99"/>
        <v>98.177875744503964</v>
      </c>
      <c r="AV136" s="30"/>
      <c r="AW136" s="30"/>
      <c r="AX136" s="30"/>
      <c r="AY136" s="29"/>
      <c r="AZ136" s="30"/>
      <c r="BA136" s="30"/>
      <c r="BC136" s="30"/>
      <c r="BD136" s="30"/>
      <c r="BE136" s="30"/>
      <c r="BF136" s="30"/>
      <c r="BG136" s="30"/>
      <c r="BH136" s="29"/>
      <c r="BI136" s="30"/>
      <c r="BJ136" s="30"/>
      <c r="BK136" s="30"/>
      <c r="BL136" s="29"/>
      <c r="BM136" s="30"/>
      <c r="BN136" s="29"/>
      <c r="BO136" s="30"/>
      <c r="BP136" s="30"/>
      <c r="BQ136" s="30"/>
      <c r="BR136" s="30"/>
      <c r="BS136" s="31"/>
      <c r="BT136" s="30"/>
      <c r="BU136" s="30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32"/>
      <c r="DG136" s="32"/>
      <c r="DH136" s="32"/>
      <c r="DI136" s="32"/>
      <c r="DJ136" s="32"/>
      <c r="DK136" s="32"/>
      <c r="DL136" s="32"/>
      <c r="DM136" s="32"/>
      <c r="DN136" s="32"/>
      <c r="DO136" s="32"/>
      <c r="DP136" s="32"/>
      <c r="DQ136" s="32"/>
      <c r="DR136" s="32"/>
      <c r="DS136" s="32"/>
      <c r="DT136" s="32"/>
      <c r="DU136" s="32"/>
      <c r="DV136" s="32"/>
      <c r="DW136" s="32"/>
      <c r="DX136" s="32"/>
      <c r="DY136" s="32"/>
      <c r="DZ136" s="32"/>
      <c r="EA136" s="32"/>
      <c r="EB136" s="32"/>
      <c r="EC136" s="32"/>
      <c r="ED136" s="32"/>
      <c r="EE136" s="32"/>
      <c r="EF136" s="32"/>
      <c r="EG136" s="32"/>
      <c r="EH136" s="32"/>
      <c r="EI136" s="32"/>
      <c r="EJ136" s="32"/>
      <c r="EK136" s="32"/>
      <c r="EL136" s="32"/>
      <c r="EM136" s="32"/>
      <c r="EN136" s="32"/>
      <c r="EO136" s="32"/>
      <c r="EP136" s="32"/>
      <c r="EQ136" s="32"/>
      <c r="ER136" s="32"/>
      <c r="ES136" s="32"/>
      <c r="ET136" s="32"/>
      <c r="EU136" s="32"/>
      <c r="EV136" s="32"/>
      <c r="EW136" s="32"/>
      <c r="EX136" s="32"/>
      <c r="EY136" s="32"/>
      <c r="EZ136" s="32"/>
      <c r="FA136" s="32"/>
      <c r="FB136" s="32"/>
      <c r="FC136" s="32"/>
      <c r="FD136" s="32"/>
      <c r="FE136" s="32"/>
      <c r="FF136" s="32"/>
      <c r="FG136" s="32"/>
      <c r="FH136" s="32"/>
      <c r="FI136" s="32"/>
      <c r="FJ136" s="32"/>
      <c r="FK136" s="32"/>
      <c r="FL136" s="32"/>
      <c r="FM136" s="32"/>
      <c r="FN136" s="32"/>
      <c r="FO136" s="32"/>
      <c r="FP136" s="32"/>
      <c r="FQ136" s="32"/>
      <c r="FR136" s="32"/>
      <c r="FS136" s="32"/>
      <c r="FT136" s="32"/>
      <c r="FU136" s="32"/>
      <c r="FV136" s="32"/>
      <c r="FW136" s="32"/>
      <c r="FX136" s="32"/>
      <c r="FY136" s="32"/>
      <c r="FZ136" s="32"/>
      <c r="GA136" s="32"/>
      <c r="GB136" s="32"/>
      <c r="GC136" s="32"/>
      <c r="GD136" s="32"/>
      <c r="GE136" s="32"/>
      <c r="GF136" s="32"/>
      <c r="GG136" s="32"/>
      <c r="GH136" s="32"/>
      <c r="GI136" s="32"/>
      <c r="GJ136" s="32"/>
      <c r="GK136" s="32"/>
      <c r="GL136" s="32"/>
      <c r="GM136" s="32"/>
      <c r="GN136" s="32"/>
      <c r="GO136" s="32"/>
      <c r="GP136" s="32"/>
      <c r="GQ136" s="32"/>
      <c r="GR136" s="32"/>
      <c r="GS136" s="32"/>
      <c r="GT136" s="32"/>
      <c r="GU136" s="32"/>
      <c r="GV136" s="32"/>
      <c r="GW136" s="32"/>
      <c r="GX136" s="32"/>
      <c r="GY136" s="32"/>
      <c r="GZ136" s="32"/>
      <c r="HA136" s="32"/>
      <c r="HB136" s="32"/>
      <c r="HC136" s="32"/>
      <c r="HD136" s="32"/>
      <c r="HE136" s="32"/>
      <c r="HF136" s="32"/>
      <c r="HG136" s="32"/>
      <c r="HH136" s="32"/>
      <c r="HI136" s="32"/>
      <c r="HJ136" s="32"/>
      <c r="HK136" s="32"/>
      <c r="HL136" s="32"/>
      <c r="HM136" s="32"/>
      <c r="HN136" s="32"/>
      <c r="HO136" s="32"/>
      <c r="HP136" s="32"/>
      <c r="HQ136" s="32"/>
      <c r="HR136" s="32"/>
      <c r="HS136" s="32"/>
      <c r="HT136" s="32"/>
      <c r="HU136" s="32"/>
      <c r="HV136" s="32"/>
      <c r="HW136" s="32"/>
      <c r="HX136" s="32"/>
      <c r="HY136" s="32"/>
      <c r="HZ136" s="32"/>
      <c r="IA136" s="32"/>
      <c r="IB136" s="32"/>
      <c r="IC136" s="32"/>
      <c r="ID136" s="32"/>
      <c r="IE136" s="32"/>
      <c r="IF136" s="32"/>
      <c r="IG136" s="32"/>
      <c r="IH136" s="32"/>
      <c r="II136" s="32"/>
      <c r="IJ136" s="32"/>
      <c r="IK136" s="32"/>
      <c r="IL136" s="32"/>
      <c r="IM136" s="32"/>
      <c r="IN136" s="32"/>
      <c r="IO136" s="32"/>
      <c r="IP136" s="32"/>
      <c r="IQ136" s="32"/>
    </row>
    <row r="137" spans="1:251" x14ac:dyDescent="0.2">
      <c r="A137" s="11">
        <v>20</v>
      </c>
      <c r="B137" s="11" t="s">
        <v>63</v>
      </c>
      <c r="C137" s="11" t="s">
        <v>171</v>
      </c>
      <c r="D137" s="32" t="s">
        <v>64</v>
      </c>
      <c r="E137" s="12" t="s">
        <v>58</v>
      </c>
      <c r="F137" s="11" t="s">
        <v>50</v>
      </c>
      <c r="G137" s="13">
        <v>42388</v>
      </c>
      <c r="I137" s="13">
        <v>43041</v>
      </c>
      <c r="J137" s="14">
        <v>43152</v>
      </c>
      <c r="K137" s="15">
        <v>102</v>
      </c>
      <c r="L137" s="16">
        <f t="shared" si="67"/>
        <v>764</v>
      </c>
      <c r="M137" s="16">
        <v>1160</v>
      </c>
      <c r="N137" s="16">
        <v>1240</v>
      </c>
      <c r="O137" s="16">
        <v>1300</v>
      </c>
      <c r="P137" s="17">
        <f t="shared" si="88"/>
        <v>1270</v>
      </c>
      <c r="U137" s="18">
        <v>1785</v>
      </c>
      <c r="V137" s="17">
        <v>1800</v>
      </c>
      <c r="W137" s="19">
        <v>1810</v>
      </c>
      <c r="X137" s="17">
        <f t="shared" si="90"/>
        <v>1805</v>
      </c>
      <c r="Y137" s="20">
        <f t="shared" si="91"/>
        <v>2.3625654450261782</v>
      </c>
      <c r="Z137" s="17">
        <f t="shared" si="92"/>
        <v>535</v>
      </c>
      <c r="AA137" s="20">
        <f t="shared" si="93"/>
        <v>4.7767857142857144</v>
      </c>
      <c r="AB137" s="21">
        <v>56.5</v>
      </c>
      <c r="AC137" s="22">
        <f t="shared" si="94"/>
        <v>6.7394055200000045</v>
      </c>
      <c r="AD137" s="23">
        <v>16.500699999999998</v>
      </c>
      <c r="AE137" s="24">
        <f t="shared" si="95"/>
        <v>0.92440896358543401</v>
      </c>
      <c r="AF137" s="23">
        <v>0.36738399999999999</v>
      </c>
      <c r="AG137" s="23">
        <v>3.27318</v>
      </c>
      <c r="AH137" s="23">
        <v>0.60160999999999998</v>
      </c>
      <c r="AI137" s="25">
        <v>43</v>
      </c>
      <c r="AJ137" s="26">
        <v>2</v>
      </c>
      <c r="AK137" s="26">
        <v>7</v>
      </c>
      <c r="AL137" s="27">
        <v>17</v>
      </c>
      <c r="AM137" s="27">
        <v>13</v>
      </c>
      <c r="AN137" s="27">
        <f t="shared" si="96"/>
        <v>221</v>
      </c>
      <c r="AO137" s="28">
        <f t="shared" si="107"/>
        <v>88.623111582295266</v>
      </c>
      <c r="AP137" s="28">
        <f t="shared" si="108"/>
        <v>99.398813288756344</v>
      </c>
      <c r="AQ137" s="28">
        <f t="shared" si="109"/>
        <v>91.218743051203802</v>
      </c>
      <c r="AR137" s="28">
        <f t="shared" si="110"/>
        <v>91.943258426966295</v>
      </c>
      <c r="AS137" s="28">
        <f t="shared" si="111"/>
        <v>97.505668934240362</v>
      </c>
      <c r="AT137" s="28">
        <f t="shared" si="99"/>
        <v>92.8496633214979</v>
      </c>
      <c r="AV137" s="30"/>
      <c r="AW137" s="30"/>
      <c r="AX137" s="30"/>
      <c r="AY137" s="29"/>
      <c r="AZ137" s="30"/>
      <c r="BA137" s="30"/>
      <c r="BC137" s="30"/>
      <c r="BD137" s="30"/>
      <c r="BE137" s="30"/>
      <c r="BF137" s="30"/>
      <c r="BG137" s="30"/>
      <c r="BH137" s="29"/>
      <c r="BI137" s="30"/>
      <c r="BJ137" s="30"/>
      <c r="BK137" s="30"/>
      <c r="BL137" s="29"/>
      <c r="BM137" s="30"/>
      <c r="BN137" s="29"/>
      <c r="BO137" s="30"/>
      <c r="BP137" s="30"/>
      <c r="BQ137" s="30"/>
      <c r="BR137" s="30"/>
      <c r="BS137" s="31"/>
      <c r="BT137" s="30"/>
      <c r="BU137" s="30"/>
    </row>
    <row r="138" spans="1:251" s="35" customFormat="1" ht="15.75" x14ac:dyDescent="0.25">
      <c r="D138" s="49" t="s">
        <v>182</v>
      </c>
      <c r="E138" s="50"/>
      <c r="G138" s="51"/>
      <c r="H138" s="51"/>
      <c r="I138" s="51"/>
      <c r="J138" s="52"/>
      <c r="K138" s="53"/>
      <c r="L138" s="54"/>
      <c r="M138" s="54"/>
      <c r="N138" s="54"/>
      <c r="O138" s="54"/>
      <c r="P138" s="59"/>
      <c r="Q138" s="59"/>
      <c r="R138" s="59"/>
      <c r="S138" s="59"/>
      <c r="T138" s="59"/>
      <c r="U138" s="67"/>
      <c r="V138" s="59"/>
      <c r="W138" s="68"/>
      <c r="X138" s="59"/>
      <c r="Y138" s="65">
        <f>AVERAGE(Y134:Y137)</f>
        <v>2.5909572721272656</v>
      </c>
      <c r="Z138" s="59"/>
      <c r="AA138" s="65">
        <f>AVERAGE(AA134:AA137)</f>
        <v>5.390625</v>
      </c>
      <c r="AB138" s="69"/>
      <c r="AC138" s="61"/>
      <c r="AD138" s="66"/>
      <c r="AE138" s="65">
        <f>AVERAGE(AE134:AE137)</f>
        <v>0.93441107628803599</v>
      </c>
      <c r="AF138" s="66"/>
      <c r="AG138" s="65">
        <f>AVERAGE(AG134:AG137)</f>
        <v>3.5567824999999997</v>
      </c>
      <c r="AH138" s="66"/>
      <c r="AI138" s="65">
        <f>AVERAGE(AI134:AI137)</f>
        <v>44.125</v>
      </c>
      <c r="AJ138" s="70"/>
      <c r="AK138" s="70"/>
      <c r="AL138" s="71"/>
      <c r="AM138" s="71"/>
      <c r="AN138" s="71"/>
      <c r="AO138" s="65">
        <f t="shared" ref="AO138:AT138" si="112">AVERAGE(AO134:AO137)</f>
        <v>100.01159554730984</v>
      </c>
      <c r="AP138" s="65">
        <f t="shared" si="112"/>
        <v>100.47430927828343</v>
      </c>
      <c r="AQ138" s="65">
        <f t="shared" si="112"/>
        <v>100.03696031379405</v>
      </c>
      <c r="AR138" s="65">
        <f t="shared" si="112"/>
        <v>99.909620786516854</v>
      </c>
      <c r="AS138" s="65">
        <f t="shared" si="112"/>
        <v>100.05668934240363</v>
      </c>
      <c r="AT138" s="65">
        <f t="shared" si="112"/>
        <v>100.0933256741522</v>
      </c>
      <c r="AV138" s="73"/>
      <c r="AW138" s="73"/>
      <c r="AX138" s="73"/>
      <c r="AY138" s="72"/>
      <c r="AZ138" s="73"/>
      <c r="BA138" s="73"/>
      <c r="BB138" s="54"/>
      <c r="BC138" s="73"/>
      <c r="BD138" s="73"/>
      <c r="BE138" s="73"/>
      <c r="BF138" s="73"/>
      <c r="BG138" s="73"/>
      <c r="BH138" s="72"/>
      <c r="BI138" s="73"/>
      <c r="BJ138" s="73"/>
      <c r="BK138" s="73"/>
      <c r="BL138" s="72"/>
      <c r="BM138" s="73"/>
      <c r="BN138" s="72"/>
      <c r="BO138" s="73"/>
      <c r="BP138" s="73"/>
      <c r="BQ138" s="73"/>
      <c r="BR138" s="73"/>
      <c r="BS138" s="74"/>
      <c r="BT138" s="73"/>
      <c r="BU138" s="73"/>
    </row>
    <row r="139" spans="1:251" x14ac:dyDescent="0.2">
      <c r="D139" s="32"/>
      <c r="J139" s="14"/>
      <c r="M139" s="16"/>
      <c r="U139" s="18"/>
      <c r="W139" s="19"/>
      <c r="AD139" s="23"/>
      <c r="AF139" s="23"/>
      <c r="AG139" s="23"/>
      <c r="AH139" s="23"/>
      <c r="AV139" s="30"/>
      <c r="AW139" s="30"/>
      <c r="AX139" s="30"/>
      <c r="AY139" s="29"/>
      <c r="AZ139" s="30"/>
      <c r="BA139" s="30"/>
      <c r="BC139" s="30"/>
      <c r="BD139" s="30"/>
      <c r="BE139" s="30"/>
      <c r="BF139" s="30"/>
      <c r="BG139" s="30"/>
      <c r="BH139" s="29"/>
      <c r="BI139" s="30"/>
      <c r="BJ139" s="30"/>
      <c r="BK139" s="30"/>
      <c r="BL139" s="29"/>
      <c r="BM139" s="30"/>
      <c r="BN139" s="29"/>
      <c r="BO139" s="30"/>
      <c r="BP139" s="30"/>
      <c r="BQ139" s="30"/>
      <c r="BR139" s="30"/>
      <c r="BS139" s="31"/>
      <c r="BT139" s="30"/>
      <c r="BU139" s="30"/>
    </row>
    <row r="140" spans="1:251" x14ac:dyDescent="0.2">
      <c r="A140" s="16">
        <v>72</v>
      </c>
      <c r="B140" s="11" t="s">
        <v>63</v>
      </c>
      <c r="C140" s="11" t="s">
        <v>171</v>
      </c>
      <c r="D140" s="32" t="s">
        <v>142</v>
      </c>
      <c r="E140" s="12" t="s">
        <v>143</v>
      </c>
      <c r="F140" s="11" t="s">
        <v>59</v>
      </c>
      <c r="G140" s="13">
        <v>42464</v>
      </c>
      <c r="I140" s="13">
        <v>43041</v>
      </c>
      <c r="J140" s="14">
        <v>43152</v>
      </c>
      <c r="K140" s="15">
        <v>116</v>
      </c>
      <c r="L140" s="16">
        <f t="shared" si="67"/>
        <v>688</v>
      </c>
      <c r="M140" s="16">
        <v>1145</v>
      </c>
      <c r="N140" s="16">
        <v>1170</v>
      </c>
      <c r="O140" s="16">
        <v>1250</v>
      </c>
      <c r="P140" s="17">
        <f t="shared" si="88"/>
        <v>1210</v>
      </c>
      <c r="U140" s="18">
        <v>1695</v>
      </c>
      <c r="V140" s="15">
        <v>1720</v>
      </c>
      <c r="W140" s="17">
        <v>1690</v>
      </c>
      <c r="X140" s="17">
        <f t="shared" si="90"/>
        <v>1705</v>
      </c>
      <c r="Y140" s="20">
        <f t="shared" si="91"/>
        <v>2.4781976744186047</v>
      </c>
      <c r="Z140" s="17">
        <f t="shared" si="92"/>
        <v>495</v>
      </c>
      <c r="AA140" s="20">
        <f t="shared" si="93"/>
        <v>4.4196428571428568</v>
      </c>
      <c r="AB140" s="21">
        <v>57</v>
      </c>
      <c r="AC140" s="22">
        <f t="shared" si="94"/>
        <v>6.8992220800000013</v>
      </c>
      <c r="AD140" s="23">
        <v>16.308199999999999</v>
      </c>
      <c r="AE140" s="24">
        <f t="shared" si="95"/>
        <v>0.9621356932153392</v>
      </c>
      <c r="AF140" s="23">
        <v>0.283111</v>
      </c>
      <c r="AG140" s="23">
        <v>3.6610999999999998</v>
      </c>
      <c r="AH140" s="23">
        <v>0.23002700000000001</v>
      </c>
      <c r="AI140" s="25">
        <v>39.5</v>
      </c>
      <c r="AJ140" s="26">
        <v>2</v>
      </c>
      <c r="AK140" s="26">
        <v>7</v>
      </c>
      <c r="AL140" s="27">
        <v>16.5</v>
      </c>
      <c r="AM140" s="27">
        <v>12</v>
      </c>
      <c r="AN140" s="27">
        <f t="shared" si="96"/>
        <v>198</v>
      </c>
      <c r="AO140" s="28">
        <f>(AA140/5.2)*100</f>
        <v>84.993131868131854</v>
      </c>
      <c r="AP140" s="28">
        <f>(AE140/0.94)*100</f>
        <v>102.35486098035524</v>
      </c>
      <c r="AQ140" s="28">
        <f>(Y140/2.57)*100</f>
        <v>96.427925074653885</v>
      </c>
      <c r="AR140" s="28">
        <f>(AG140/3.58)*100</f>
        <v>102.26536312849161</v>
      </c>
      <c r="AS140" s="28">
        <f>(AI140/43.2)*100</f>
        <v>91.435185185185176</v>
      </c>
      <c r="AT140" s="28">
        <f t="shared" si="99"/>
        <v>94.851087915658226</v>
      </c>
    </row>
    <row r="141" spans="1:251" x14ac:dyDescent="0.2">
      <c r="D141" s="32"/>
      <c r="J141" s="14"/>
      <c r="M141" s="16"/>
      <c r="AD141" s="48"/>
    </row>
    <row r="142" spans="1:251" s="38" customFormat="1" ht="15.75" x14ac:dyDescent="0.25">
      <c r="D142" s="41"/>
      <c r="E142" s="39"/>
      <c r="G142" s="40"/>
      <c r="H142" s="40"/>
      <c r="I142" s="40"/>
      <c r="J142" s="41"/>
      <c r="K142" s="42"/>
    </row>
    <row r="143" spans="1:251" s="38" customFormat="1" ht="15.75" x14ac:dyDescent="0.25">
      <c r="D143" s="41" t="s">
        <v>190</v>
      </c>
      <c r="E143" s="39"/>
      <c r="G143" s="40"/>
      <c r="H143" s="40"/>
      <c r="I143" s="40"/>
      <c r="J143" s="41"/>
      <c r="K143" s="42"/>
      <c r="M143" s="38">
        <v>782.09</v>
      </c>
      <c r="N143" s="38">
        <v>812.13</v>
      </c>
      <c r="O143" s="38">
        <v>832.42</v>
      </c>
      <c r="P143" s="65">
        <v>1301</v>
      </c>
      <c r="Q143" s="65"/>
      <c r="R143" s="65"/>
      <c r="S143" s="65"/>
      <c r="T143" s="65"/>
      <c r="U143" s="65">
        <v>1867</v>
      </c>
      <c r="V143" s="65">
        <v>1888</v>
      </c>
      <c r="W143" s="65">
        <v>1878</v>
      </c>
      <c r="X143" s="65">
        <v>1883</v>
      </c>
      <c r="Y143" s="65">
        <v>2.57</v>
      </c>
      <c r="Z143" s="65">
        <v>582</v>
      </c>
      <c r="AA143" s="65">
        <v>5.2</v>
      </c>
      <c r="AB143" s="65">
        <v>56.8</v>
      </c>
      <c r="AC143" s="42">
        <v>6.84</v>
      </c>
      <c r="AD143" s="42">
        <v>17.54</v>
      </c>
      <c r="AE143" s="42">
        <v>0.94</v>
      </c>
      <c r="AF143" s="38">
        <v>0.39</v>
      </c>
      <c r="AG143" s="38">
        <v>3.58</v>
      </c>
      <c r="AH143" s="38">
        <v>0.52</v>
      </c>
      <c r="AI143" s="38">
        <v>43.2</v>
      </c>
      <c r="AJ143" s="40">
        <v>1.8</v>
      </c>
      <c r="AK143" s="40">
        <v>7.2</v>
      </c>
      <c r="AL143" s="40">
        <v>16.899999999999999</v>
      </c>
      <c r="AM143" s="40">
        <v>12.6</v>
      </c>
      <c r="AN143" s="40">
        <v>212.9</v>
      </c>
      <c r="AO143" s="40"/>
      <c r="AP143" s="40"/>
      <c r="AQ143" s="40"/>
      <c r="AR143" s="40"/>
      <c r="AS143" s="40"/>
      <c r="AT143" s="40"/>
    </row>
    <row r="144" spans="1:251" ht="15.75" x14ac:dyDescent="0.25">
      <c r="J144" s="14"/>
      <c r="M144" s="16"/>
      <c r="AF144" s="57"/>
      <c r="AG144" s="57"/>
      <c r="AH144" s="57"/>
      <c r="AO144" s="28" t="s">
        <v>191</v>
      </c>
    </row>
    <row r="145" spans="1:73" x14ac:dyDescent="0.2">
      <c r="A145" s="16"/>
      <c r="J145" s="14"/>
      <c r="M145" s="16"/>
      <c r="AF145" s="58"/>
      <c r="AG145" s="58"/>
      <c r="AH145" s="58"/>
    </row>
    <row r="146" spans="1:73" ht="15.75" x14ac:dyDescent="0.25">
      <c r="A146" s="16"/>
      <c r="J146" s="14"/>
      <c r="M146" s="16"/>
      <c r="Q146" s="15"/>
      <c r="R146" s="15"/>
      <c r="S146" s="15"/>
      <c r="T146" s="15"/>
      <c r="U146" s="59"/>
      <c r="V146" s="15"/>
      <c r="W146" s="15"/>
      <c r="AB146" s="22"/>
      <c r="AD146" s="60"/>
      <c r="AF146" s="58"/>
      <c r="AG146" s="58"/>
      <c r="AH146" s="58"/>
      <c r="AJ146" s="16"/>
      <c r="AK146" s="16"/>
      <c r="AL146" s="25"/>
      <c r="AM146" s="25"/>
    </row>
    <row r="147" spans="1:73" ht="15.75" x14ac:dyDescent="0.25">
      <c r="A147" s="16"/>
      <c r="J147" s="14"/>
      <c r="M147" s="16"/>
      <c r="AD147" s="48"/>
      <c r="AE147" s="42"/>
      <c r="AF147" s="58"/>
      <c r="AG147" s="58"/>
      <c r="AH147" s="58"/>
    </row>
    <row r="148" spans="1:73" s="35" customFormat="1" ht="15.75" x14ac:dyDescent="0.25">
      <c r="D148" s="11"/>
      <c r="E148" s="50"/>
      <c r="G148" s="51"/>
      <c r="H148" s="51"/>
      <c r="I148" s="51"/>
      <c r="J148" s="52"/>
      <c r="K148" s="53"/>
      <c r="L148" s="54"/>
      <c r="M148" s="16"/>
      <c r="N148" s="16"/>
      <c r="O148" s="54"/>
      <c r="P148" s="53"/>
      <c r="Q148" s="53"/>
      <c r="R148" s="53"/>
      <c r="S148" s="53"/>
      <c r="T148" s="53"/>
      <c r="U148" s="17"/>
      <c r="V148" s="53"/>
      <c r="W148" s="53"/>
      <c r="X148" s="53"/>
      <c r="Y148" s="42"/>
      <c r="Z148" s="53"/>
      <c r="AA148" s="42"/>
      <c r="AB148" s="61"/>
      <c r="AC148" s="61"/>
      <c r="AD148" s="48"/>
      <c r="AE148" s="24"/>
      <c r="AF148" s="58"/>
      <c r="AG148" s="58"/>
      <c r="AH148" s="58"/>
      <c r="AI148" s="55"/>
      <c r="AJ148" s="54"/>
      <c r="AK148" s="54"/>
      <c r="AL148" s="55"/>
      <c r="AM148" s="55"/>
      <c r="AN148" s="55"/>
      <c r="AO148" s="38"/>
      <c r="AP148" s="38"/>
      <c r="AQ148" s="38"/>
      <c r="AR148" s="38"/>
      <c r="AS148" s="38"/>
      <c r="AT148" s="38"/>
      <c r="AX148" s="56"/>
      <c r="AY148" s="54"/>
      <c r="AZ148" s="56"/>
      <c r="BA148" s="56"/>
      <c r="BB148" s="54"/>
      <c r="BC148" s="54"/>
      <c r="BG148" s="56"/>
      <c r="BH148" s="54"/>
      <c r="BI148" s="56"/>
      <c r="BJ148" s="56"/>
      <c r="BO148" s="56"/>
      <c r="BS148" s="55"/>
      <c r="BT148" s="56"/>
      <c r="BU148" s="56"/>
    </row>
    <row r="149" spans="1:73" ht="15.75" x14ac:dyDescent="0.25">
      <c r="A149" s="16"/>
      <c r="D149" s="35"/>
      <c r="J149" s="14"/>
      <c r="M149" s="16"/>
      <c r="AD149" s="48"/>
      <c r="AF149" s="58"/>
      <c r="AG149" s="58"/>
      <c r="AH149" s="58"/>
    </row>
    <row r="150" spans="1:73" ht="15.75" x14ac:dyDescent="0.25">
      <c r="M150" s="54"/>
      <c r="U150" s="15"/>
      <c r="AD150" s="48"/>
      <c r="AF150" s="38"/>
      <c r="AG150" s="38"/>
      <c r="AH150" s="38"/>
    </row>
    <row r="151" spans="1:73" x14ac:dyDescent="0.2">
      <c r="M151" s="16"/>
      <c r="AD151" s="48"/>
      <c r="AF151" s="58"/>
      <c r="AG151" s="58"/>
      <c r="AH151" s="58"/>
    </row>
    <row r="152" spans="1:73" ht="15.75" x14ac:dyDescent="0.25">
      <c r="N152" s="54"/>
      <c r="U152" s="53"/>
      <c r="AD152" s="42"/>
    </row>
    <row r="153" spans="1:73" ht="15.75" x14ac:dyDescent="0.25">
      <c r="AD153" s="48"/>
      <c r="AE153" s="42"/>
    </row>
    <row r="161" s="11" customFormat="1" x14ac:dyDescent="0.2"/>
    <row r="162" s="11" customFormat="1" x14ac:dyDescent="0.2"/>
    <row r="164" s="11" customFormat="1" x14ac:dyDescent="0.2"/>
    <row r="165" s="11" customFormat="1" x14ac:dyDescent="0.2"/>
    <row r="167" s="11" customFormat="1" x14ac:dyDescent="0.2"/>
  </sheetData>
  <phoneticPr fontId="0" type="noConversion"/>
  <printOptions gridLines="1" gridLinesSet="0"/>
  <pageMargins left="0.25" right="0.25" top="0.75" bottom="0.75" header="0.3" footer="0.3"/>
  <pageSetup orientation="portrait" r:id="rId1"/>
  <headerFooter alignWithMargins="0">
    <oddHeader>&amp;C2017-2018 RGVBIA Bull Gain Test</oddHead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97"/>
  <sheetViews>
    <sheetView workbookViewId="0">
      <selection activeCell="BA41" sqref="BA41"/>
    </sheetView>
  </sheetViews>
  <sheetFormatPr defaultRowHeight="15" x14ac:dyDescent="0.2"/>
  <cols>
    <col min="1" max="1" width="6.140625" style="81" customWidth="1"/>
    <col min="2" max="2" width="8.85546875" style="11" hidden="1" customWidth="1"/>
    <col min="3" max="3" width="7.42578125" style="11" customWidth="1"/>
    <col min="4" max="4" width="26.5703125" style="11" customWidth="1"/>
    <col min="5" max="5" width="8.5703125" style="12" customWidth="1"/>
    <col min="6" max="6" width="17.7109375" style="11" customWidth="1"/>
    <col min="7" max="7" width="11" style="13" customWidth="1"/>
    <col min="8" max="8" width="0.28515625" style="13" customWidth="1"/>
    <col min="9" max="9" width="0.140625" style="13" customWidth="1"/>
    <col min="10" max="10" width="0.140625" style="62" customWidth="1"/>
    <col min="11" max="11" width="0.140625" style="15" customWidth="1"/>
    <col min="12" max="12" width="0.140625" style="16" customWidth="1"/>
    <col min="13" max="13" width="0.140625" style="26" hidden="1" customWidth="1"/>
    <col min="14" max="15" width="0.140625" style="16" hidden="1" customWidth="1"/>
    <col min="16" max="24" width="0.140625" style="17" hidden="1" customWidth="1"/>
    <col min="25" max="25" width="0.140625" style="20" hidden="1" customWidth="1"/>
    <col min="26" max="26" width="0.140625" style="17" hidden="1" customWidth="1"/>
    <col min="27" max="27" width="0.140625" style="20" hidden="1" customWidth="1"/>
    <col min="28" max="28" width="0.140625" style="21" hidden="1" customWidth="1"/>
    <col min="29" max="29" width="0.140625" style="22" hidden="1" customWidth="1"/>
    <col min="30" max="31" width="7.7109375" style="24" hidden="1" customWidth="1"/>
    <col min="32" max="34" width="7.7109375" style="44" hidden="1" customWidth="1"/>
    <col min="35" max="35" width="7.7109375" style="25" hidden="1" customWidth="1"/>
    <col min="36" max="36" width="4.28515625" style="26" hidden="1" customWidth="1"/>
    <col min="37" max="37" width="4" style="26" hidden="1" customWidth="1"/>
    <col min="38" max="40" width="4.28515625" style="27" hidden="1" customWidth="1"/>
    <col min="41" max="45" width="9.140625" style="63" hidden="1" customWidth="1"/>
    <col min="46" max="46" width="10" style="63" customWidth="1"/>
    <col min="47" max="47" width="9.5703125" style="11" customWidth="1"/>
    <col min="48" max="48" width="10.42578125" style="11" customWidth="1"/>
    <col min="49" max="49" width="13.28515625" style="11" customWidth="1"/>
    <col min="50" max="50" width="10.7109375" style="34" customWidth="1"/>
    <col min="51" max="51" width="9.140625" style="16"/>
    <col min="52" max="52" width="9.140625" style="34"/>
    <col min="53" max="53" width="10.140625" style="34" customWidth="1"/>
    <col min="54" max="55" width="9.140625" style="16"/>
    <col min="56" max="58" width="11" style="11" customWidth="1"/>
    <col min="59" max="59" width="11.140625" style="34" customWidth="1"/>
    <col min="60" max="60" width="10.5703125" style="16" customWidth="1"/>
    <col min="61" max="62" width="10.5703125" style="34" customWidth="1"/>
    <col min="63" max="63" width="10.85546875" style="11" customWidth="1"/>
    <col min="64" max="64" width="11.140625" style="11" customWidth="1"/>
    <col min="65" max="65" width="10.7109375" style="11" customWidth="1"/>
    <col min="66" max="66" width="9.140625" style="11"/>
    <col min="67" max="67" width="11.5703125" style="34" customWidth="1"/>
    <col min="68" max="68" width="10.85546875" style="11" customWidth="1"/>
    <col min="69" max="69" width="10" style="11" customWidth="1"/>
    <col min="70" max="70" width="10.7109375" style="11" customWidth="1"/>
    <col min="71" max="71" width="9.140625" style="25"/>
    <col min="72" max="73" width="9.140625" style="34"/>
    <col min="74" max="16384" width="9.140625" style="11"/>
  </cols>
  <sheetData>
    <row r="1" spans="1:251" s="1" customFormat="1" ht="31.5" customHeight="1" x14ac:dyDescent="0.2">
      <c r="A1" s="83" t="s">
        <v>0</v>
      </c>
      <c r="B1" s="1" t="s">
        <v>20</v>
      </c>
      <c r="C1" s="1" t="s">
        <v>38</v>
      </c>
      <c r="D1" s="1" t="s">
        <v>1</v>
      </c>
      <c r="E1" s="2" t="s">
        <v>2</v>
      </c>
      <c r="F1" s="1" t="s">
        <v>3</v>
      </c>
      <c r="G1" s="3" t="s">
        <v>4</v>
      </c>
      <c r="H1" s="3" t="s">
        <v>32</v>
      </c>
      <c r="I1" s="3" t="s">
        <v>31</v>
      </c>
      <c r="J1" s="3" t="s">
        <v>16</v>
      </c>
      <c r="K1" s="4" t="s">
        <v>5</v>
      </c>
      <c r="L1" s="5" t="s">
        <v>6</v>
      </c>
      <c r="M1" s="5" t="s">
        <v>7</v>
      </c>
      <c r="N1" s="5" t="s">
        <v>27</v>
      </c>
      <c r="O1" s="5" t="s">
        <v>28</v>
      </c>
      <c r="P1" s="4" t="s">
        <v>8</v>
      </c>
      <c r="Q1" s="4" t="s">
        <v>26</v>
      </c>
      <c r="R1" s="4" t="s">
        <v>9</v>
      </c>
      <c r="S1" s="4" t="s">
        <v>11</v>
      </c>
      <c r="T1" s="4" t="s">
        <v>21</v>
      </c>
      <c r="U1" s="4" t="s">
        <v>44</v>
      </c>
      <c r="V1" s="4" t="s">
        <v>29</v>
      </c>
      <c r="W1" s="4" t="s">
        <v>30</v>
      </c>
      <c r="X1" s="4" t="s">
        <v>12</v>
      </c>
      <c r="Y1" s="6" t="s">
        <v>10</v>
      </c>
      <c r="Z1" s="4" t="s">
        <v>14</v>
      </c>
      <c r="AA1" s="6" t="s">
        <v>15</v>
      </c>
      <c r="AB1" s="7" t="s">
        <v>13</v>
      </c>
      <c r="AC1" s="7" t="s">
        <v>25</v>
      </c>
      <c r="AD1" s="6" t="s">
        <v>45</v>
      </c>
      <c r="AE1" s="6" t="s">
        <v>19</v>
      </c>
      <c r="AF1" s="8" t="s">
        <v>18</v>
      </c>
      <c r="AG1" s="8" t="s">
        <v>17</v>
      </c>
      <c r="AH1" s="8" t="s">
        <v>47</v>
      </c>
      <c r="AI1" s="9" t="s">
        <v>41</v>
      </c>
      <c r="AJ1" s="5" t="s">
        <v>33</v>
      </c>
      <c r="AK1" s="5" t="s">
        <v>43</v>
      </c>
      <c r="AL1" s="9" t="s">
        <v>22</v>
      </c>
      <c r="AM1" s="9" t="s">
        <v>23</v>
      </c>
      <c r="AN1" s="9" t="s">
        <v>24</v>
      </c>
      <c r="AO1" s="8" t="s">
        <v>34</v>
      </c>
      <c r="AP1" s="8" t="s">
        <v>35</v>
      </c>
      <c r="AQ1" s="8" t="s">
        <v>36</v>
      </c>
      <c r="AR1" s="8" t="s">
        <v>37</v>
      </c>
      <c r="AS1" s="8" t="s">
        <v>42</v>
      </c>
      <c r="AT1" s="8" t="s">
        <v>39</v>
      </c>
      <c r="AU1" s="10" t="s">
        <v>193</v>
      </c>
      <c r="AV1" s="10"/>
      <c r="AX1" s="10"/>
      <c r="AY1" s="5"/>
      <c r="AZ1" s="10"/>
      <c r="BA1" s="10"/>
      <c r="BB1" s="5"/>
      <c r="BC1" s="10"/>
      <c r="BG1" s="10"/>
      <c r="BH1" s="5"/>
      <c r="BI1" s="10"/>
      <c r="BK1" s="10"/>
      <c r="BL1" s="5"/>
      <c r="BO1" s="10"/>
      <c r="BS1" s="9"/>
      <c r="BT1" s="10"/>
      <c r="BU1" s="10"/>
    </row>
    <row r="2" spans="1:251" x14ac:dyDescent="0.2">
      <c r="A2" s="81">
        <v>21</v>
      </c>
      <c r="B2" s="11" t="s">
        <v>63</v>
      </c>
      <c r="C2" s="11" t="s">
        <v>171</v>
      </c>
      <c r="D2" s="32" t="s">
        <v>64</v>
      </c>
      <c r="E2" s="12" t="s">
        <v>55</v>
      </c>
      <c r="F2" s="11" t="s">
        <v>50</v>
      </c>
      <c r="G2" s="13">
        <v>42429</v>
      </c>
      <c r="I2" s="13">
        <v>43041</v>
      </c>
      <c r="J2" s="14">
        <v>43152</v>
      </c>
      <c r="K2" s="15">
        <v>102</v>
      </c>
      <c r="L2" s="16">
        <f t="shared" ref="L2:L44" si="0">J2-G2</f>
        <v>723</v>
      </c>
      <c r="M2" s="16">
        <v>1225</v>
      </c>
      <c r="N2" s="11">
        <v>1235</v>
      </c>
      <c r="O2" s="16">
        <v>1350</v>
      </c>
      <c r="P2" s="17">
        <f t="shared" ref="P2:P14" si="1">AVERAGE(N2:O2)</f>
        <v>1292.5</v>
      </c>
      <c r="U2" s="18">
        <v>1970</v>
      </c>
      <c r="V2" s="15">
        <v>1995</v>
      </c>
      <c r="W2" s="17">
        <v>1980</v>
      </c>
      <c r="X2" s="17">
        <f t="shared" ref="X2:X44" si="2">(V2+W2)/2</f>
        <v>1987.5</v>
      </c>
      <c r="Y2" s="20">
        <f t="shared" ref="Y2:Y44" si="3">(X2/L2)</f>
        <v>2.7489626556016598</v>
      </c>
      <c r="Z2" s="17">
        <f t="shared" ref="Z2:Z44" si="4">(X2-P2)</f>
        <v>695</v>
      </c>
      <c r="AA2" s="20">
        <f t="shared" ref="AA2:AA44" si="5">(Z2/112)</f>
        <v>6.2053571428571432</v>
      </c>
      <c r="AB2" s="21">
        <v>57</v>
      </c>
      <c r="AC2" s="22">
        <f t="shared" ref="AC2:AC44" si="6">-11.548+0.4878*(AB2)-0.0289*(L2)+0.00001947*(L2*L2)+0.0000334*(AB2*L2)</f>
        <v>6.9158810299999995</v>
      </c>
      <c r="AD2" s="23">
        <v>18.295100000000001</v>
      </c>
      <c r="AE2" s="24">
        <f t="shared" ref="AE2:AE44" si="7">AD2/U2*100</f>
        <v>0.9286852791878174</v>
      </c>
      <c r="AF2" s="23">
        <v>0.418852</v>
      </c>
      <c r="AG2" s="23">
        <v>3.93222</v>
      </c>
      <c r="AH2" s="23">
        <v>0.44183800000000001</v>
      </c>
      <c r="AI2" s="25">
        <v>40.5</v>
      </c>
      <c r="AJ2" s="26">
        <v>2</v>
      </c>
      <c r="AK2" s="26">
        <v>7</v>
      </c>
      <c r="AL2" s="27">
        <v>17</v>
      </c>
      <c r="AM2" s="27">
        <v>13</v>
      </c>
      <c r="AN2" s="27">
        <f t="shared" ref="AN2:AN44" si="8">(AL2*AM2)</f>
        <v>221</v>
      </c>
      <c r="AO2" s="63">
        <f>(AA2/5.39)*100</f>
        <v>115.12721971905646</v>
      </c>
      <c r="AP2" s="63">
        <f>(AE2/0.93)*100</f>
        <v>99.858632170733046</v>
      </c>
      <c r="AQ2" s="63">
        <f>(Y2/2.59)*100</f>
        <v>106.13755427033436</v>
      </c>
      <c r="AR2" s="63">
        <f>(AG2/3.56)*100</f>
        <v>110.45561797752809</v>
      </c>
      <c r="AS2" s="63">
        <f>(AI2/44.1)*100</f>
        <v>91.83673469387756</v>
      </c>
      <c r="AT2" s="63">
        <f t="shared" ref="AT2:AT44" si="9">(AO2*0.3)+(AP2*0.2)+(AQ2*0.2)+(AR2*0.2)+(AS2*0.1)</f>
        <v>107.0122002688238</v>
      </c>
      <c r="AU2" s="30" t="s">
        <v>194</v>
      </c>
      <c r="AV2" s="30"/>
      <c r="AW2" s="30"/>
      <c r="AX2" s="30"/>
      <c r="AY2" s="29"/>
      <c r="AZ2" s="30"/>
      <c r="BA2" s="30"/>
      <c r="BB2" s="29"/>
      <c r="BC2" s="30"/>
      <c r="BD2" s="30"/>
      <c r="BE2" s="30"/>
      <c r="BF2" s="30"/>
      <c r="BG2" s="30"/>
      <c r="BH2" s="29"/>
      <c r="BI2" s="30"/>
      <c r="BJ2" s="30"/>
      <c r="BK2" s="30"/>
      <c r="BL2" s="29"/>
      <c r="BM2" s="30"/>
      <c r="BN2" s="29"/>
      <c r="BO2" s="30"/>
      <c r="BP2" s="30"/>
      <c r="BQ2" s="30"/>
      <c r="BR2" s="30"/>
      <c r="BS2" s="31"/>
      <c r="BT2" s="30"/>
      <c r="BU2" s="30"/>
    </row>
    <row r="3" spans="1:251" x14ac:dyDescent="0.2">
      <c r="A3" s="81">
        <v>18</v>
      </c>
      <c r="B3" s="11" t="s">
        <v>63</v>
      </c>
      <c r="C3" s="11" t="s">
        <v>171</v>
      </c>
      <c r="D3" s="32" t="s">
        <v>64</v>
      </c>
      <c r="E3" s="12" t="s">
        <v>56</v>
      </c>
      <c r="F3" s="11" t="s">
        <v>50</v>
      </c>
      <c r="G3" s="13">
        <v>42416</v>
      </c>
      <c r="I3" s="13">
        <v>43041</v>
      </c>
      <c r="J3" s="14">
        <v>43152</v>
      </c>
      <c r="K3" s="15">
        <v>102</v>
      </c>
      <c r="L3" s="16">
        <f t="shared" si="0"/>
        <v>736</v>
      </c>
      <c r="M3" s="16">
        <v>1280</v>
      </c>
      <c r="N3" s="16">
        <v>1380</v>
      </c>
      <c r="O3" s="16">
        <v>1475</v>
      </c>
      <c r="P3" s="17">
        <f t="shared" si="1"/>
        <v>1427.5</v>
      </c>
      <c r="U3" s="18">
        <v>2020</v>
      </c>
      <c r="V3" s="17">
        <v>2050</v>
      </c>
      <c r="W3" s="19">
        <v>2050</v>
      </c>
      <c r="X3" s="17">
        <f t="shared" si="2"/>
        <v>2050</v>
      </c>
      <c r="Y3" s="20">
        <f t="shared" si="3"/>
        <v>2.785326086956522</v>
      </c>
      <c r="Z3" s="17">
        <f t="shared" si="4"/>
        <v>622.5</v>
      </c>
      <c r="AA3" s="20">
        <f t="shared" si="5"/>
        <v>5.5580357142857144</v>
      </c>
      <c r="AB3" s="21">
        <v>57.5</v>
      </c>
      <c r="AC3" s="22">
        <f t="shared" si="6"/>
        <v>7.1904091200000044</v>
      </c>
      <c r="AD3" s="23">
        <v>19.174900000000001</v>
      </c>
      <c r="AE3" s="24">
        <f t="shared" si="7"/>
        <v>0.94925247524752476</v>
      </c>
      <c r="AF3" s="23">
        <v>0.48038399999999998</v>
      </c>
      <c r="AG3" s="23">
        <v>3.22858</v>
      </c>
      <c r="AH3" s="23">
        <v>0.83288600000000002</v>
      </c>
      <c r="AI3" s="25">
        <v>50</v>
      </c>
      <c r="AJ3" s="26">
        <v>2</v>
      </c>
      <c r="AK3" s="26">
        <v>7</v>
      </c>
      <c r="AL3" s="27">
        <v>16.5</v>
      </c>
      <c r="AM3" s="27">
        <v>13</v>
      </c>
      <c r="AN3" s="27">
        <f t="shared" si="8"/>
        <v>214.5</v>
      </c>
      <c r="AO3" s="63">
        <f>(AA3/5.39)*100</f>
        <v>103.11754571958653</v>
      </c>
      <c r="AP3" s="63">
        <f>(AE3/0.93)*100</f>
        <v>102.07015862876609</v>
      </c>
      <c r="AQ3" s="63">
        <f>(Y3/2.59)*100</f>
        <v>107.54154775893907</v>
      </c>
      <c r="AR3" s="63">
        <f>(AG3/3.56)*100</f>
        <v>90.690449438202251</v>
      </c>
      <c r="AS3" s="63">
        <f>(AI3/44.1)*100</f>
        <v>113.37868480725623</v>
      </c>
      <c r="AT3" s="63">
        <f t="shared" si="9"/>
        <v>102.33356336178306</v>
      </c>
      <c r="AU3" s="30" t="s">
        <v>194</v>
      </c>
      <c r="AV3" s="30"/>
      <c r="AW3" s="30"/>
      <c r="AX3" s="30"/>
      <c r="AY3" s="29"/>
      <c r="AZ3" s="30"/>
      <c r="BA3" s="30"/>
      <c r="BB3" s="29"/>
      <c r="BC3" s="30"/>
      <c r="BD3" s="30"/>
      <c r="BE3" s="30"/>
      <c r="BF3" s="30"/>
      <c r="BG3" s="30"/>
      <c r="BH3" s="29"/>
      <c r="BI3" s="30"/>
      <c r="BJ3" s="30"/>
      <c r="BK3" s="30"/>
      <c r="BL3" s="29"/>
      <c r="BM3" s="30"/>
      <c r="BN3" s="29"/>
      <c r="BO3" s="30"/>
      <c r="BP3" s="30"/>
      <c r="BQ3" s="30"/>
      <c r="BR3" s="30"/>
      <c r="BS3" s="31"/>
      <c r="BT3" s="30"/>
      <c r="BU3" s="30"/>
    </row>
    <row r="4" spans="1:251" x14ac:dyDescent="0.2">
      <c r="A4" s="81">
        <v>73</v>
      </c>
      <c r="B4" s="11" t="s">
        <v>53</v>
      </c>
      <c r="C4" s="11" t="s">
        <v>172</v>
      </c>
      <c r="D4" s="32" t="s">
        <v>142</v>
      </c>
      <c r="E4" s="12" t="s">
        <v>144</v>
      </c>
      <c r="F4" s="11" t="s">
        <v>59</v>
      </c>
      <c r="G4" s="13">
        <v>42497</v>
      </c>
      <c r="I4" s="13">
        <v>43041</v>
      </c>
      <c r="J4" s="14">
        <v>43152</v>
      </c>
      <c r="K4" s="15">
        <v>116</v>
      </c>
      <c r="L4" s="16">
        <f t="shared" si="0"/>
        <v>655</v>
      </c>
      <c r="M4" s="16">
        <v>1100</v>
      </c>
      <c r="N4" s="16">
        <v>1145</v>
      </c>
      <c r="O4" s="16">
        <v>1200</v>
      </c>
      <c r="P4" s="17">
        <f t="shared" si="1"/>
        <v>1172.5</v>
      </c>
      <c r="U4" s="18">
        <v>1845</v>
      </c>
      <c r="V4" s="17">
        <v>1875</v>
      </c>
      <c r="W4" s="17">
        <v>1840</v>
      </c>
      <c r="X4" s="17">
        <f t="shared" si="2"/>
        <v>1857.5</v>
      </c>
      <c r="Y4" s="20">
        <f t="shared" si="3"/>
        <v>2.83587786259542</v>
      </c>
      <c r="Z4" s="17">
        <f t="shared" si="4"/>
        <v>685</v>
      </c>
      <c r="AA4" s="20">
        <f t="shared" si="5"/>
        <v>6.1160714285714288</v>
      </c>
      <c r="AB4" s="21">
        <v>56.5</v>
      </c>
      <c r="AC4" s="22">
        <f t="shared" si="6"/>
        <v>6.6723672500000051</v>
      </c>
      <c r="AD4" s="23">
        <v>19.537800000000001</v>
      </c>
      <c r="AE4" s="24">
        <f t="shared" si="7"/>
        <v>1.0589593495934959</v>
      </c>
      <c r="AF4" s="23">
        <v>0.291153</v>
      </c>
      <c r="AG4" s="23">
        <v>4.2957599999999996</v>
      </c>
      <c r="AH4" s="23">
        <v>0.22329599999999999</v>
      </c>
      <c r="AI4" s="25">
        <v>44.5</v>
      </c>
      <c r="AJ4" s="26">
        <v>1</v>
      </c>
      <c r="AK4" s="26">
        <v>6</v>
      </c>
      <c r="AL4" s="27">
        <v>16.5</v>
      </c>
      <c r="AM4" s="27">
        <v>13</v>
      </c>
      <c r="AN4" s="27">
        <f t="shared" si="8"/>
        <v>214.5</v>
      </c>
      <c r="AO4" s="63">
        <f>(AA4/3.96)*100</f>
        <v>154.44624819624821</v>
      </c>
      <c r="AP4" s="63">
        <f>(AE4/1.09)*100</f>
        <v>97.152233907660161</v>
      </c>
      <c r="AQ4" s="63">
        <f>(Y4/2.35)*100</f>
        <v>120.67565372746468</v>
      </c>
      <c r="AR4" s="63">
        <f>(AG4/3.88)*100</f>
        <v>110.71546391752575</v>
      </c>
      <c r="AS4" s="63">
        <f>(AI4/40.6)*100</f>
        <v>109.60591133004927</v>
      </c>
      <c r="AT4" s="63">
        <f t="shared" si="9"/>
        <v>123.00313590240953</v>
      </c>
      <c r="AU4" s="11" t="s">
        <v>194</v>
      </c>
    </row>
    <row r="5" spans="1:251" x14ac:dyDescent="0.2">
      <c r="A5" s="81">
        <v>1</v>
      </c>
      <c r="B5" s="11" t="s">
        <v>53</v>
      </c>
      <c r="C5" s="11" t="s">
        <v>172</v>
      </c>
      <c r="D5" s="32" t="s">
        <v>62</v>
      </c>
      <c r="E5" s="12" t="s">
        <v>68</v>
      </c>
      <c r="F5" s="11" t="s">
        <v>51</v>
      </c>
      <c r="G5" s="13">
        <v>42562</v>
      </c>
      <c r="I5" s="13">
        <v>43041</v>
      </c>
      <c r="J5" s="14">
        <v>43152</v>
      </c>
      <c r="K5" s="15">
        <v>100</v>
      </c>
      <c r="L5" s="16">
        <f t="shared" si="0"/>
        <v>590</v>
      </c>
      <c r="M5" s="16">
        <v>1090</v>
      </c>
      <c r="N5" s="16">
        <v>1100</v>
      </c>
      <c r="O5" s="16">
        <v>1140</v>
      </c>
      <c r="P5" s="17">
        <f t="shared" si="1"/>
        <v>1120</v>
      </c>
      <c r="U5" s="18">
        <v>1695</v>
      </c>
      <c r="V5" s="17">
        <v>1725</v>
      </c>
      <c r="W5" s="19">
        <v>1720</v>
      </c>
      <c r="X5" s="17">
        <f t="shared" si="2"/>
        <v>1722.5</v>
      </c>
      <c r="Y5" s="20">
        <f t="shared" si="3"/>
        <v>2.9194915254237288</v>
      </c>
      <c r="Z5" s="17">
        <f t="shared" si="4"/>
        <v>602.5</v>
      </c>
      <c r="AA5" s="20">
        <f t="shared" si="5"/>
        <v>5.3794642857142856</v>
      </c>
      <c r="AB5" s="21">
        <v>57</v>
      </c>
      <c r="AC5" s="22">
        <f t="shared" si="6"/>
        <v>7.1063490000000016</v>
      </c>
      <c r="AD5" s="23">
        <v>17.612100000000002</v>
      </c>
      <c r="AE5" s="24">
        <f t="shared" si="7"/>
        <v>1.039061946902655</v>
      </c>
      <c r="AF5" s="23">
        <v>0.22784599999999999</v>
      </c>
      <c r="AG5" s="23">
        <v>3.5935299999999999</v>
      </c>
      <c r="AH5" s="23">
        <v>0.42069800000000002</v>
      </c>
      <c r="AI5" s="25">
        <v>46.5</v>
      </c>
      <c r="AJ5" s="26">
        <v>2</v>
      </c>
      <c r="AK5" s="26">
        <v>7</v>
      </c>
      <c r="AL5" s="27">
        <v>17.5</v>
      </c>
      <c r="AM5" s="27">
        <v>14</v>
      </c>
      <c r="AN5" s="27">
        <f t="shared" si="8"/>
        <v>245</v>
      </c>
      <c r="AO5" s="63">
        <f>(AA5/4.35)*100</f>
        <v>123.66584564860428</v>
      </c>
      <c r="AP5" s="63">
        <f>(AE5/1.04)*100</f>
        <v>99.909802586793745</v>
      </c>
      <c r="AQ5" s="63">
        <f>(Y5/2.43)*100</f>
        <v>120.143684173816</v>
      </c>
      <c r="AR5" s="63">
        <f>(AG5/3.66)*100</f>
        <v>98.183879781420757</v>
      </c>
      <c r="AS5" s="63">
        <f>(AI5/41.4)*100</f>
        <v>112.31884057971016</v>
      </c>
      <c r="AT5" s="63">
        <f t="shared" si="9"/>
        <v>111.9791110609584</v>
      </c>
      <c r="AU5" s="30" t="s">
        <v>194</v>
      </c>
      <c r="AV5" s="30"/>
    </row>
    <row r="6" spans="1:251" x14ac:dyDescent="0.2">
      <c r="A6" s="81">
        <v>86</v>
      </c>
      <c r="B6" s="11" t="s">
        <v>53</v>
      </c>
      <c r="C6" s="11" t="s">
        <v>172</v>
      </c>
      <c r="D6" s="11" t="s">
        <v>155</v>
      </c>
      <c r="E6" s="12" t="s">
        <v>158</v>
      </c>
      <c r="F6" s="11" t="s">
        <v>59</v>
      </c>
      <c r="G6" s="13">
        <v>42596</v>
      </c>
      <c r="I6" s="13">
        <v>43041</v>
      </c>
      <c r="J6" s="14">
        <v>43152</v>
      </c>
      <c r="K6" s="15">
        <v>120</v>
      </c>
      <c r="L6" s="16">
        <f t="shared" si="0"/>
        <v>556</v>
      </c>
      <c r="M6" s="16">
        <v>1005</v>
      </c>
      <c r="N6" s="16">
        <v>1055</v>
      </c>
      <c r="O6" s="16">
        <v>1140</v>
      </c>
      <c r="P6" s="17">
        <f t="shared" si="1"/>
        <v>1097.5</v>
      </c>
      <c r="U6" s="18">
        <v>1585</v>
      </c>
      <c r="V6" s="15">
        <v>1595</v>
      </c>
      <c r="W6" s="19">
        <v>1600</v>
      </c>
      <c r="X6" s="17">
        <f t="shared" si="2"/>
        <v>1597.5</v>
      </c>
      <c r="Y6" s="20">
        <f t="shared" si="3"/>
        <v>2.8732014388489207</v>
      </c>
      <c r="Z6" s="17">
        <f t="shared" si="4"/>
        <v>500</v>
      </c>
      <c r="AA6" s="20">
        <f t="shared" si="5"/>
        <v>4.4642857142857144</v>
      </c>
      <c r="AB6" s="21">
        <v>57</v>
      </c>
      <c r="AC6" s="22">
        <f t="shared" si="6"/>
        <v>7.2655907199999987</v>
      </c>
      <c r="AD6" s="23">
        <v>16.0337</v>
      </c>
      <c r="AE6" s="24">
        <f t="shared" si="7"/>
        <v>1.0115899053627759</v>
      </c>
      <c r="AF6" s="23">
        <v>0.17694399999999999</v>
      </c>
      <c r="AG6" s="23">
        <v>4.42746</v>
      </c>
      <c r="AH6" s="23">
        <v>0.21233299999999999</v>
      </c>
      <c r="AI6" s="25">
        <v>41.5</v>
      </c>
      <c r="AJ6" s="26">
        <v>1</v>
      </c>
      <c r="AK6" s="26">
        <v>6</v>
      </c>
      <c r="AL6" s="27">
        <v>14</v>
      </c>
      <c r="AM6" s="27">
        <v>10</v>
      </c>
      <c r="AN6" s="27">
        <f t="shared" si="8"/>
        <v>140</v>
      </c>
      <c r="AO6" s="63">
        <f>(AA6/3.96)*100</f>
        <v>112.73448773448773</v>
      </c>
      <c r="AP6" s="63">
        <f>(AE6/1.09)*100</f>
        <v>92.806413336034481</v>
      </c>
      <c r="AQ6" s="63">
        <f>(Y6/2.35)*100</f>
        <v>122.26389101484769</v>
      </c>
      <c r="AR6" s="63">
        <f>(AG6/3.88)*100</f>
        <v>114.109793814433</v>
      </c>
      <c r="AS6" s="63">
        <f>(AI6/40.6)*100</f>
        <v>102.21674876847291</v>
      </c>
      <c r="AT6" s="63">
        <f t="shared" si="9"/>
        <v>109.87804083025665</v>
      </c>
      <c r="AU6" s="30" t="s">
        <v>194</v>
      </c>
      <c r="AV6" s="30"/>
      <c r="AW6" s="30"/>
      <c r="AX6" s="30"/>
      <c r="AY6" s="29"/>
      <c r="AZ6" s="30"/>
      <c r="BA6" s="30"/>
      <c r="BB6" s="29"/>
      <c r="BC6" s="30"/>
      <c r="BD6" s="30"/>
      <c r="BE6" s="30"/>
      <c r="BF6" s="30"/>
      <c r="BG6" s="30"/>
      <c r="BH6" s="29"/>
      <c r="BI6" s="30"/>
      <c r="BJ6" s="30"/>
      <c r="BK6" s="30"/>
      <c r="BL6" s="29"/>
      <c r="BM6" s="30"/>
      <c r="BN6" s="29"/>
      <c r="BO6" s="30"/>
      <c r="BP6" s="30"/>
      <c r="BQ6" s="30"/>
      <c r="BR6" s="30"/>
      <c r="BS6" s="31"/>
      <c r="BT6" s="30"/>
      <c r="BU6" s="30"/>
    </row>
    <row r="7" spans="1:251" x14ac:dyDescent="0.2">
      <c r="A7" s="81">
        <v>5</v>
      </c>
      <c r="B7" s="11" t="s">
        <v>53</v>
      </c>
      <c r="C7" s="11" t="s">
        <v>172</v>
      </c>
      <c r="D7" s="32" t="s">
        <v>62</v>
      </c>
      <c r="E7" s="12" t="s">
        <v>72</v>
      </c>
      <c r="F7" s="11" t="s">
        <v>51</v>
      </c>
      <c r="G7" s="36">
        <v>42521</v>
      </c>
      <c r="I7" s="13">
        <v>43041</v>
      </c>
      <c r="J7" s="14">
        <v>43152</v>
      </c>
      <c r="K7" s="15">
        <v>100</v>
      </c>
      <c r="L7" s="16">
        <f t="shared" si="0"/>
        <v>631</v>
      </c>
      <c r="M7" s="16">
        <v>914</v>
      </c>
      <c r="N7" s="16">
        <v>936</v>
      </c>
      <c r="O7" s="16">
        <v>972</v>
      </c>
      <c r="P7" s="17">
        <f t="shared" si="1"/>
        <v>954</v>
      </c>
      <c r="U7" s="18">
        <v>1405</v>
      </c>
      <c r="V7" s="17">
        <v>1435</v>
      </c>
      <c r="W7" s="19">
        <v>1445</v>
      </c>
      <c r="X7" s="17">
        <f t="shared" si="2"/>
        <v>1440</v>
      </c>
      <c r="Y7" s="20">
        <f t="shared" si="3"/>
        <v>2.2820919175911252</v>
      </c>
      <c r="Z7" s="17">
        <f t="shared" si="4"/>
        <v>486</v>
      </c>
      <c r="AA7" s="20">
        <f t="shared" si="5"/>
        <v>4.3392857142857144</v>
      </c>
      <c r="AB7" s="21">
        <v>57</v>
      </c>
      <c r="AC7" s="22">
        <f t="shared" si="6"/>
        <v>6.9741924699999984</v>
      </c>
      <c r="AD7" s="23">
        <v>15.3215</v>
      </c>
      <c r="AE7" s="24">
        <f t="shared" si="7"/>
        <v>1.0904982206405693</v>
      </c>
      <c r="AF7" s="23">
        <v>0.19269600000000001</v>
      </c>
      <c r="AG7" s="23">
        <v>3.7560199999999999</v>
      </c>
      <c r="AH7" s="23">
        <v>0.371583</v>
      </c>
      <c r="AI7" s="25">
        <v>46.5</v>
      </c>
      <c r="AJ7" s="26">
        <v>2</v>
      </c>
      <c r="AK7" s="26">
        <v>7</v>
      </c>
      <c r="AL7" s="27">
        <v>17</v>
      </c>
      <c r="AM7" s="27">
        <v>13</v>
      </c>
      <c r="AN7" s="27">
        <f t="shared" si="8"/>
        <v>221</v>
      </c>
      <c r="AO7" s="63">
        <f>(AA7/4.35)*100</f>
        <v>99.753694581280797</v>
      </c>
      <c r="AP7" s="63">
        <f>(AE7/1.04)*100</f>
        <v>104.85559813851629</v>
      </c>
      <c r="AQ7" s="63">
        <f>(Y7/2.43)*100</f>
        <v>93.913247637494862</v>
      </c>
      <c r="AR7" s="63">
        <f>(AG7/3.66)*100</f>
        <v>102.62349726775956</v>
      </c>
      <c r="AS7" s="63">
        <f>(AI7/41.4)*100</f>
        <v>112.31884057971016</v>
      </c>
      <c r="AT7" s="63">
        <f t="shared" si="9"/>
        <v>101.43646104110941</v>
      </c>
      <c r="AU7" s="30" t="s">
        <v>194</v>
      </c>
      <c r="AV7" s="30"/>
    </row>
    <row r="8" spans="1:251" s="32" customFormat="1" x14ac:dyDescent="0.2">
      <c r="A8" s="81">
        <v>71</v>
      </c>
      <c r="B8" s="11" t="s">
        <v>53</v>
      </c>
      <c r="C8" s="11" t="s">
        <v>172</v>
      </c>
      <c r="D8" s="32" t="s">
        <v>138</v>
      </c>
      <c r="E8" s="12" t="s">
        <v>141</v>
      </c>
      <c r="F8" s="11" t="s">
        <v>139</v>
      </c>
      <c r="G8" s="13">
        <v>42555</v>
      </c>
      <c r="H8" s="13"/>
      <c r="I8" s="13">
        <v>43041</v>
      </c>
      <c r="J8" s="14">
        <v>43152</v>
      </c>
      <c r="K8" s="15">
        <v>115</v>
      </c>
      <c r="L8" s="16">
        <f t="shared" si="0"/>
        <v>597</v>
      </c>
      <c r="M8" s="16">
        <v>1105</v>
      </c>
      <c r="N8" s="16">
        <v>1070</v>
      </c>
      <c r="O8" s="16">
        <v>1125</v>
      </c>
      <c r="P8" s="17">
        <f t="shared" si="1"/>
        <v>1097.5</v>
      </c>
      <c r="Q8" s="17"/>
      <c r="R8" s="17"/>
      <c r="S8" s="17"/>
      <c r="T8" s="17"/>
      <c r="U8" s="18">
        <v>1475</v>
      </c>
      <c r="V8" s="17">
        <v>1500</v>
      </c>
      <c r="W8" s="17">
        <v>1485</v>
      </c>
      <c r="X8" s="17">
        <f t="shared" si="2"/>
        <v>1492.5</v>
      </c>
      <c r="Y8" s="20">
        <f t="shared" si="3"/>
        <v>2.5</v>
      </c>
      <c r="Z8" s="17">
        <f t="shared" si="4"/>
        <v>395</v>
      </c>
      <c r="AA8" s="20">
        <f t="shared" si="5"/>
        <v>3.5267857142857144</v>
      </c>
      <c r="AB8" s="21">
        <v>56.5</v>
      </c>
      <c r="AC8" s="22">
        <f t="shared" si="6"/>
        <v>6.8252819300000036</v>
      </c>
      <c r="AD8" s="23">
        <v>15.7506</v>
      </c>
      <c r="AE8" s="24">
        <f t="shared" si="7"/>
        <v>1.0678372881355933</v>
      </c>
      <c r="AF8" s="23">
        <v>0.33619399999999999</v>
      </c>
      <c r="AG8" s="23">
        <v>3.8147000000000002</v>
      </c>
      <c r="AH8" s="23">
        <v>0.42466599999999999</v>
      </c>
      <c r="AI8" s="25">
        <v>40.5</v>
      </c>
      <c r="AJ8" s="26">
        <v>3</v>
      </c>
      <c r="AK8" s="26">
        <v>6</v>
      </c>
      <c r="AL8" s="27">
        <v>17</v>
      </c>
      <c r="AM8" s="27">
        <v>13</v>
      </c>
      <c r="AN8" s="27">
        <f t="shared" si="8"/>
        <v>221</v>
      </c>
      <c r="AO8" s="63">
        <f>(AA8/3.56)*100</f>
        <v>99.06701444622793</v>
      </c>
      <c r="AP8" s="63">
        <f>(AE8/1.08)*100</f>
        <v>98.873822975517882</v>
      </c>
      <c r="AQ8" s="63">
        <f>(Y8/2.4)*100</f>
        <v>104.16666666666667</v>
      </c>
      <c r="AR8" s="63">
        <f>(AG8/3.7)*100</f>
        <v>103.1</v>
      </c>
      <c r="AS8" s="63">
        <f>(AI8/40.5)*100</f>
        <v>100</v>
      </c>
      <c r="AT8" s="63">
        <f t="shared" si="9"/>
        <v>100.9482022623053</v>
      </c>
      <c r="AU8" s="11" t="s">
        <v>194</v>
      </c>
      <c r="AV8" s="11"/>
      <c r="AW8" s="11"/>
      <c r="AX8" s="34"/>
      <c r="AY8" s="16"/>
      <c r="AZ8" s="34"/>
      <c r="BA8" s="34"/>
      <c r="BB8" s="16"/>
      <c r="BC8" s="16"/>
      <c r="BD8" s="11"/>
      <c r="BE8" s="11"/>
      <c r="BF8" s="11"/>
      <c r="BG8" s="34"/>
      <c r="BH8" s="16"/>
      <c r="BI8" s="34"/>
      <c r="BJ8" s="34"/>
      <c r="BK8" s="11"/>
      <c r="BL8" s="11"/>
      <c r="BM8" s="11"/>
      <c r="BN8" s="11"/>
      <c r="BO8" s="34"/>
      <c r="BP8" s="11"/>
      <c r="BQ8" s="11"/>
      <c r="BR8" s="11"/>
      <c r="BS8" s="25"/>
      <c r="BT8" s="34"/>
      <c r="BU8" s="34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</row>
    <row r="9" spans="1:251" x14ac:dyDescent="0.2">
      <c r="A9" s="81">
        <v>88</v>
      </c>
      <c r="B9" s="11" t="s">
        <v>52</v>
      </c>
      <c r="C9" s="11" t="s">
        <v>174</v>
      </c>
      <c r="D9" s="11" t="s">
        <v>155</v>
      </c>
      <c r="E9" s="12" t="s">
        <v>160</v>
      </c>
      <c r="F9" s="11" t="s">
        <v>163</v>
      </c>
      <c r="G9" s="13">
        <v>42614</v>
      </c>
      <c r="I9" s="13">
        <v>43041</v>
      </c>
      <c r="J9" s="14">
        <v>43152</v>
      </c>
      <c r="K9" s="15">
        <v>120</v>
      </c>
      <c r="L9" s="16">
        <f t="shared" si="0"/>
        <v>538</v>
      </c>
      <c r="M9" s="16">
        <v>884</v>
      </c>
      <c r="N9" s="16">
        <v>900</v>
      </c>
      <c r="O9" s="16">
        <v>962</v>
      </c>
      <c r="P9" s="17">
        <f t="shared" si="1"/>
        <v>931</v>
      </c>
      <c r="U9" s="18">
        <v>1545</v>
      </c>
      <c r="V9" s="17">
        <v>1535</v>
      </c>
      <c r="W9" s="19">
        <v>1560</v>
      </c>
      <c r="X9" s="17">
        <f t="shared" si="2"/>
        <v>1547.5</v>
      </c>
      <c r="Y9" s="20">
        <f t="shared" si="3"/>
        <v>2.8763940520446099</v>
      </c>
      <c r="Z9" s="17">
        <f t="shared" si="4"/>
        <v>616.5</v>
      </c>
      <c r="AA9" s="20">
        <f t="shared" si="5"/>
        <v>5.5044642857142856</v>
      </c>
      <c r="AB9" s="21">
        <v>55</v>
      </c>
      <c r="AC9" s="22">
        <f t="shared" si="6"/>
        <v>6.3565806800000013</v>
      </c>
      <c r="AD9" s="23">
        <v>16.184699999999999</v>
      </c>
      <c r="AE9" s="24">
        <f t="shared" si="7"/>
        <v>1.0475533980582523</v>
      </c>
      <c r="AF9" s="23">
        <v>0.22189300000000001</v>
      </c>
      <c r="AG9" s="23">
        <v>3.7476600000000002</v>
      </c>
      <c r="AH9" s="23">
        <v>0.16234399999999999</v>
      </c>
      <c r="AI9" s="25">
        <v>43.5</v>
      </c>
      <c r="AJ9" s="26">
        <v>1</v>
      </c>
      <c r="AK9" s="26">
        <v>7</v>
      </c>
      <c r="AL9" s="27">
        <v>14.5</v>
      </c>
      <c r="AM9" s="27">
        <v>12</v>
      </c>
      <c r="AN9" s="27">
        <f t="shared" si="8"/>
        <v>174</v>
      </c>
      <c r="AO9" s="63">
        <f>(AA9/3.62)*100</f>
        <v>152.05702446724544</v>
      </c>
      <c r="AP9" s="63">
        <f>(AE9/1.1)*100</f>
        <v>95.232127096204749</v>
      </c>
      <c r="AQ9" s="63">
        <f>(Y9/2.65)*100</f>
        <v>108.54317177526831</v>
      </c>
      <c r="AR9" s="63">
        <f>(AG9/3.56)*100</f>
        <v>105.27134831460674</v>
      </c>
      <c r="AS9" s="63">
        <f>(AI9/40.1)*100</f>
        <v>108.47880299251871</v>
      </c>
      <c r="AT9" s="63">
        <f t="shared" si="9"/>
        <v>118.27431707664147</v>
      </c>
      <c r="AU9" s="11" t="s">
        <v>194</v>
      </c>
      <c r="AW9" s="30"/>
      <c r="AX9" s="30"/>
      <c r="AY9" s="29"/>
      <c r="AZ9" s="30"/>
      <c r="BA9" s="30"/>
      <c r="BB9" s="29"/>
      <c r="BC9" s="30"/>
      <c r="BD9" s="30"/>
      <c r="BE9" s="30"/>
      <c r="BF9" s="30"/>
      <c r="BG9" s="30"/>
      <c r="BH9" s="29"/>
      <c r="BI9" s="30"/>
      <c r="BJ9" s="30"/>
      <c r="BK9" s="30"/>
      <c r="BL9" s="29"/>
      <c r="BM9" s="30"/>
      <c r="BN9" s="29"/>
      <c r="BO9" s="30"/>
      <c r="BP9" s="30"/>
      <c r="BQ9" s="30"/>
      <c r="BR9" s="30"/>
      <c r="BS9" s="31"/>
      <c r="BT9" s="30"/>
      <c r="BU9" s="30"/>
    </row>
    <row r="10" spans="1:251" x14ac:dyDescent="0.2">
      <c r="A10" s="81">
        <v>54</v>
      </c>
      <c r="B10" s="11" t="s">
        <v>52</v>
      </c>
      <c r="C10" s="11" t="s">
        <v>174</v>
      </c>
      <c r="D10" s="11" t="s">
        <v>117</v>
      </c>
      <c r="E10" s="12" t="s">
        <v>121</v>
      </c>
      <c r="F10" s="11" t="s">
        <v>54</v>
      </c>
      <c r="G10" s="13">
        <v>42687</v>
      </c>
      <c r="I10" s="13">
        <v>43041</v>
      </c>
      <c r="J10" s="14">
        <v>43152</v>
      </c>
      <c r="K10" s="15">
        <v>111</v>
      </c>
      <c r="L10" s="16">
        <f t="shared" si="0"/>
        <v>465</v>
      </c>
      <c r="M10" s="16">
        <v>758</v>
      </c>
      <c r="N10" s="16">
        <v>810</v>
      </c>
      <c r="O10" s="16">
        <v>846</v>
      </c>
      <c r="P10" s="17">
        <f t="shared" si="1"/>
        <v>828</v>
      </c>
      <c r="U10" s="18">
        <v>1240</v>
      </c>
      <c r="V10" s="17">
        <v>1245</v>
      </c>
      <c r="W10" s="19">
        <v>1240</v>
      </c>
      <c r="X10" s="17">
        <f t="shared" si="2"/>
        <v>1242.5</v>
      </c>
      <c r="Y10" s="20">
        <f t="shared" si="3"/>
        <v>2.672043010752688</v>
      </c>
      <c r="Z10" s="17">
        <f t="shared" si="4"/>
        <v>414.5</v>
      </c>
      <c r="AA10" s="20">
        <f t="shared" si="5"/>
        <v>3.7008928571428572</v>
      </c>
      <c r="AB10" s="21">
        <v>56.5</v>
      </c>
      <c r="AC10" s="22">
        <f t="shared" si="6"/>
        <v>7.6616022500000032</v>
      </c>
      <c r="AD10" s="23">
        <v>14.127000000000001</v>
      </c>
      <c r="AE10" s="24">
        <f t="shared" si="7"/>
        <v>1.1392741935483872</v>
      </c>
      <c r="AF10" s="23">
        <v>0.219</v>
      </c>
      <c r="AG10" s="23">
        <v>3.1177000000000001</v>
      </c>
      <c r="AH10" s="23">
        <v>0.30858000000000002</v>
      </c>
      <c r="AI10" s="25">
        <v>34</v>
      </c>
      <c r="AJ10" s="26">
        <v>3</v>
      </c>
      <c r="AK10" s="26">
        <v>6</v>
      </c>
      <c r="AL10" s="27">
        <v>17</v>
      </c>
      <c r="AM10" s="27">
        <v>13.5</v>
      </c>
      <c r="AN10" s="27">
        <f t="shared" si="8"/>
        <v>229.5</v>
      </c>
      <c r="AO10" s="63">
        <f>(AA10/2.82)*100</f>
        <v>131.2373353596758</v>
      </c>
      <c r="AP10" s="63">
        <f>(AE10/1.16)*100</f>
        <v>98.213292547274762</v>
      </c>
      <c r="AQ10" s="63">
        <f>(Y10/2.39)*100</f>
        <v>111.80096279299948</v>
      </c>
      <c r="AR10" s="63">
        <f>(AG10/3.5)*100</f>
        <v>89.07714285714286</v>
      </c>
      <c r="AS10" s="63">
        <f>(AI10/37.2)*100</f>
        <v>91.397849462365585</v>
      </c>
      <c r="AT10" s="63">
        <f t="shared" si="9"/>
        <v>108.32926519362272</v>
      </c>
      <c r="AU10" s="30" t="s">
        <v>194</v>
      </c>
      <c r="AV10" s="30"/>
      <c r="AW10" s="30"/>
      <c r="AX10" s="30"/>
      <c r="AY10" s="29"/>
      <c r="AZ10" s="30"/>
      <c r="BA10" s="30"/>
      <c r="BC10" s="30"/>
      <c r="BD10" s="30"/>
      <c r="BE10" s="30"/>
      <c r="BF10" s="30"/>
      <c r="BG10" s="30"/>
      <c r="BH10" s="29"/>
      <c r="BI10" s="30"/>
      <c r="BJ10" s="30"/>
      <c r="BK10" s="30"/>
      <c r="BL10" s="29"/>
      <c r="BM10" s="30"/>
      <c r="BN10" s="29"/>
      <c r="BO10" s="30"/>
      <c r="BP10" s="30"/>
      <c r="BQ10" s="30"/>
      <c r="BR10" s="30"/>
      <c r="BS10" s="31"/>
      <c r="BT10" s="30"/>
      <c r="BU10" s="30"/>
    </row>
    <row r="11" spans="1:251" x14ac:dyDescent="0.2">
      <c r="A11" s="81">
        <v>89</v>
      </c>
      <c r="B11" s="11" t="s">
        <v>52</v>
      </c>
      <c r="C11" s="11" t="s">
        <v>174</v>
      </c>
      <c r="D11" s="45" t="s">
        <v>155</v>
      </c>
      <c r="E11" s="12" t="s">
        <v>161</v>
      </c>
      <c r="F11" s="11" t="s">
        <v>59</v>
      </c>
      <c r="G11" s="13">
        <v>42616</v>
      </c>
      <c r="I11" s="13">
        <v>43041</v>
      </c>
      <c r="J11" s="14">
        <v>43152</v>
      </c>
      <c r="K11" s="15">
        <v>120</v>
      </c>
      <c r="L11" s="16">
        <f t="shared" si="0"/>
        <v>536</v>
      </c>
      <c r="M11" s="16">
        <v>946</v>
      </c>
      <c r="N11" s="16">
        <v>966</v>
      </c>
      <c r="O11" s="16">
        <v>980</v>
      </c>
      <c r="P11" s="17">
        <f t="shared" si="1"/>
        <v>973</v>
      </c>
      <c r="U11" s="18">
        <v>1510</v>
      </c>
      <c r="V11" s="17">
        <v>1530</v>
      </c>
      <c r="W11" s="19">
        <v>1475</v>
      </c>
      <c r="X11" s="17">
        <f t="shared" si="2"/>
        <v>1502.5</v>
      </c>
      <c r="Y11" s="20">
        <f t="shared" si="3"/>
        <v>2.8031716417910446</v>
      </c>
      <c r="Z11" s="17">
        <f t="shared" si="4"/>
        <v>529.5</v>
      </c>
      <c r="AA11" s="20">
        <f t="shared" si="5"/>
        <v>4.7276785714285712</v>
      </c>
      <c r="AB11" s="21">
        <v>56</v>
      </c>
      <c r="AC11" s="22">
        <f t="shared" si="6"/>
        <v>6.8745875200000022</v>
      </c>
      <c r="AD11" s="23">
        <v>15.3856</v>
      </c>
      <c r="AE11" s="24">
        <f t="shared" si="7"/>
        <v>1.0189139072847682</v>
      </c>
      <c r="AF11" s="23">
        <v>0.15698100000000001</v>
      </c>
      <c r="AG11" s="23">
        <v>3.6612399999999998</v>
      </c>
      <c r="AH11" s="23">
        <v>0.24879100000000001</v>
      </c>
      <c r="AI11" s="25">
        <v>38.5</v>
      </c>
      <c r="AJ11" s="26">
        <v>2</v>
      </c>
      <c r="AK11" s="26">
        <v>6</v>
      </c>
      <c r="AL11" s="27">
        <v>16.5</v>
      </c>
      <c r="AM11" s="27">
        <v>13</v>
      </c>
      <c r="AN11" s="27">
        <f t="shared" si="8"/>
        <v>214.5</v>
      </c>
      <c r="AO11" s="63">
        <f>(AA11/3.6)*100</f>
        <v>131.32440476190476</v>
      </c>
      <c r="AP11" s="63">
        <f>(AE11/1.1)*100</f>
        <v>92.628537025888008</v>
      </c>
      <c r="AQ11" s="63">
        <f>(Y11/2.74)*100</f>
        <v>102.30553437193592</v>
      </c>
      <c r="AR11" s="63">
        <f>(AG11/3.56)*100</f>
        <v>102.8438202247191</v>
      </c>
      <c r="AS11" s="63">
        <f>(AI11/41.5)*100</f>
        <v>92.771084337349393</v>
      </c>
      <c r="AT11" s="63">
        <f t="shared" si="9"/>
        <v>108.23000818681497</v>
      </c>
      <c r="AU11" s="11" t="s">
        <v>194</v>
      </c>
    </row>
    <row r="12" spans="1:251" x14ac:dyDescent="0.2">
      <c r="A12" s="82">
        <v>78</v>
      </c>
      <c r="B12" s="11" t="s">
        <v>52</v>
      </c>
      <c r="C12" s="11" t="s">
        <v>174</v>
      </c>
      <c r="D12" s="11" t="s">
        <v>148</v>
      </c>
      <c r="E12" s="12" t="s">
        <v>150</v>
      </c>
      <c r="F12" s="11" t="s">
        <v>149</v>
      </c>
      <c r="G12" s="13">
        <v>42619</v>
      </c>
      <c r="I12" s="13">
        <v>43041</v>
      </c>
      <c r="J12" s="14">
        <v>43152</v>
      </c>
      <c r="K12" s="15">
        <v>117</v>
      </c>
      <c r="L12" s="16">
        <f t="shared" si="0"/>
        <v>533</v>
      </c>
      <c r="M12" s="16">
        <v>1145</v>
      </c>
      <c r="N12" s="16">
        <v>1050</v>
      </c>
      <c r="O12" s="16">
        <v>1075</v>
      </c>
      <c r="P12" s="17">
        <f t="shared" si="1"/>
        <v>1062.5</v>
      </c>
      <c r="U12" s="18">
        <v>1535</v>
      </c>
      <c r="V12" s="17">
        <v>1535</v>
      </c>
      <c r="W12" s="17">
        <v>1520</v>
      </c>
      <c r="X12" s="17">
        <f t="shared" si="2"/>
        <v>1527.5</v>
      </c>
      <c r="Y12" s="20">
        <f t="shared" si="3"/>
        <v>2.8658536585365852</v>
      </c>
      <c r="Z12" s="17">
        <f t="shared" si="4"/>
        <v>465</v>
      </c>
      <c r="AA12" s="20">
        <f t="shared" si="5"/>
        <v>4.1517857142857144</v>
      </c>
      <c r="AB12" s="21">
        <v>52.5</v>
      </c>
      <c r="AC12" s="22">
        <f t="shared" si="6"/>
        <v>5.1236283300000016</v>
      </c>
      <c r="AD12" s="23">
        <v>16.690000000000001</v>
      </c>
      <c r="AE12" s="24">
        <f t="shared" si="7"/>
        <v>1.087296416938111</v>
      </c>
      <c r="AF12" s="23">
        <v>0.31882300000000002</v>
      </c>
      <c r="AG12" s="23">
        <v>4.1330099999999996</v>
      </c>
      <c r="AH12" s="23">
        <v>0.21233299999999999</v>
      </c>
      <c r="AI12" s="25">
        <v>42.5</v>
      </c>
      <c r="AJ12" s="26">
        <v>1</v>
      </c>
      <c r="AK12" s="26">
        <v>7</v>
      </c>
      <c r="AL12" s="27">
        <v>16</v>
      </c>
      <c r="AM12" s="27">
        <v>14</v>
      </c>
      <c r="AN12" s="27">
        <f t="shared" si="8"/>
        <v>224</v>
      </c>
      <c r="AO12" s="63">
        <f>(AA12/3.65)*100</f>
        <v>113.74755381604697</v>
      </c>
      <c r="AP12" s="63">
        <f>(AE12/1.05)*100</f>
        <v>103.5520397083915</v>
      </c>
      <c r="AQ12" s="63">
        <f>(Y12/2.85)*100</f>
        <v>100.55626872058194</v>
      </c>
      <c r="AR12" s="63">
        <f>(AG12/3.97)*100</f>
        <v>104.10604534005037</v>
      </c>
      <c r="AS12" s="63">
        <f>(AI12/40.3)*100</f>
        <v>105.4590570719603</v>
      </c>
      <c r="AT12" s="63">
        <f t="shared" si="9"/>
        <v>106.31304260581489</v>
      </c>
      <c r="AU12" s="11" t="s">
        <v>194</v>
      </c>
      <c r="AW12" s="30"/>
      <c r="AX12" s="30"/>
      <c r="AY12" s="29"/>
      <c r="AZ12" s="30"/>
      <c r="BA12" s="30"/>
      <c r="BC12" s="30"/>
      <c r="BD12" s="30"/>
      <c r="BE12" s="30"/>
      <c r="BF12" s="30"/>
      <c r="BG12" s="30"/>
      <c r="BH12" s="29"/>
      <c r="BI12" s="30"/>
      <c r="BJ12" s="30"/>
      <c r="BK12" s="30"/>
      <c r="BL12" s="29"/>
      <c r="BM12" s="30"/>
      <c r="BN12" s="29"/>
      <c r="BO12" s="30"/>
      <c r="BP12" s="30"/>
      <c r="BQ12" s="30"/>
      <c r="BR12" s="30"/>
      <c r="BS12" s="31"/>
      <c r="BT12" s="30"/>
      <c r="BU12" s="30"/>
    </row>
    <row r="13" spans="1:251" s="32" customFormat="1" x14ac:dyDescent="0.2">
      <c r="A13" s="81">
        <v>6</v>
      </c>
      <c r="B13" s="11" t="s">
        <v>52</v>
      </c>
      <c r="C13" s="11" t="s">
        <v>174</v>
      </c>
      <c r="D13" s="32" t="s">
        <v>62</v>
      </c>
      <c r="E13" s="12" t="s">
        <v>73</v>
      </c>
      <c r="F13" s="11" t="s">
        <v>51</v>
      </c>
      <c r="G13" s="13">
        <v>42716</v>
      </c>
      <c r="H13" s="13"/>
      <c r="I13" s="13">
        <v>43041</v>
      </c>
      <c r="J13" s="14">
        <v>43152</v>
      </c>
      <c r="K13" s="15">
        <v>100</v>
      </c>
      <c r="L13" s="16">
        <f t="shared" si="0"/>
        <v>436</v>
      </c>
      <c r="M13" s="16">
        <v>798</v>
      </c>
      <c r="N13" s="16">
        <v>802</v>
      </c>
      <c r="O13" s="16">
        <v>844</v>
      </c>
      <c r="P13" s="17">
        <f t="shared" si="1"/>
        <v>823</v>
      </c>
      <c r="Q13" s="17"/>
      <c r="R13" s="17"/>
      <c r="S13" s="17"/>
      <c r="T13" s="17"/>
      <c r="U13" s="18">
        <v>1330</v>
      </c>
      <c r="V13" s="17">
        <v>1330</v>
      </c>
      <c r="W13" s="19">
        <v>1320</v>
      </c>
      <c r="X13" s="17">
        <f t="shared" si="2"/>
        <v>1325</v>
      </c>
      <c r="Y13" s="20">
        <f t="shared" si="3"/>
        <v>3.0389908256880735</v>
      </c>
      <c r="Z13" s="17">
        <f t="shared" si="4"/>
        <v>502</v>
      </c>
      <c r="AA13" s="20">
        <f t="shared" si="5"/>
        <v>4.4821428571428568</v>
      </c>
      <c r="AB13" s="21">
        <v>54</v>
      </c>
      <c r="AC13" s="22">
        <f t="shared" si="6"/>
        <v>6.6803387200000017</v>
      </c>
      <c r="AD13" s="23">
        <v>14.3065</v>
      </c>
      <c r="AE13" s="24">
        <f t="shared" si="7"/>
        <v>1.0756766917293235</v>
      </c>
      <c r="AF13" s="23">
        <v>0.32636300000000001</v>
      </c>
      <c r="AG13" s="23">
        <v>3.4643600000000001</v>
      </c>
      <c r="AH13" s="23">
        <v>0.44475300000000001</v>
      </c>
      <c r="AI13" s="25">
        <v>37.5</v>
      </c>
      <c r="AJ13" s="26">
        <v>3</v>
      </c>
      <c r="AK13" s="26">
        <v>7</v>
      </c>
      <c r="AL13" s="27">
        <v>15.5</v>
      </c>
      <c r="AM13" s="27">
        <v>13</v>
      </c>
      <c r="AN13" s="27">
        <f t="shared" si="8"/>
        <v>201.5</v>
      </c>
      <c r="AO13" s="63">
        <f>(AA13/4.07)*100</f>
        <v>110.1263601263601</v>
      </c>
      <c r="AP13" s="63">
        <f>(AE13/1.08)*100</f>
        <v>99.59969367864106</v>
      </c>
      <c r="AQ13" s="63">
        <f>(Y13/2.61)*100</f>
        <v>116.43643010299134</v>
      </c>
      <c r="AR13" s="63">
        <f>(AG13/3.55)*100</f>
        <v>97.587605633802823</v>
      </c>
      <c r="AS13" s="63">
        <f>(AI13/38.1)*100</f>
        <v>98.425196850393689</v>
      </c>
      <c r="AT13" s="63">
        <f t="shared" si="9"/>
        <v>105.60517360603444</v>
      </c>
      <c r="AU13" s="30" t="s">
        <v>194</v>
      </c>
      <c r="AV13" s="30"/>
      <c r="AW13" s="30"/>
      <c r="AX13" s="30"/>
      <c r="AY13" s="29"/>
      <c r="AZ13" s="30"/>
      <c r="BA13" s="30"/>
      <c r="BB13" s="29"/>
      <c r="BC13" s="30"/>
      <c r="BD13" s="30"/>
      <c r="BE13" s="30"/>
      <c r="BF13" s="30"/>
      <c r="BG13" s="30"/>
      <c r="BH13" s="29"/>
      <c r="BI13" s="30"/>
      <c r="BJ13" s="30"/>
      <c r="BK13" s="30"/>
      <c r="BL13" s="29"/>
      <c r="BM13" s="30"/>
      <c r="BN13" s="29"/>
      <c r="BO13" s="30"/>
      <c r="BP13" s="30"/>
      <c r="BQ13" s="30"/>
      <c r="BR13" s="30"/>
      <c r="BS13" s="31"/>
      <c r="BT13" s="30"/>
      <c r="BU13" s="30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</row>
    <row r="14" spans="1:251" x14ac:dyDescent="0.2">
      <c r="A14" s="81">
        <v>27</v>
      </c>
      <c r="B14" s="11" t="s">
        <v>52</v>
      </c>
      <c r="C14" s="11" t="s">
        <v>174</v>
      </c>
      <c r="D14" s="32" t="s">
        <v>103</v>
      </c>
      <c r="E14" s="12" t="s">
        <v>90</v>
      </c>
      <c r="F14" s="11" t="s">
        <v>59</v>
      </c>
      <c r="G14" s="13">
        <v>42715</v>
      </c>
      <c r="I14" s="13">
        <v>43041</v>
      </c>
      <c r="J14" s="14">
        <v>43152</v>
      </c>
      <c r="K14" s="37">
        <v>106</v>
      </c>
      <c r="L14" s="16">
        <f t="shared" si="0"/>
        <v>437</v>
      </c>
      <c r="M14" s="16">
        <v>798</v>
      </c>
      <c r="N14" s="16">
        <v>878</v>
      </c>
      <c r="O14" s="16">
        <v>904</v>
      </c>
      <c r="P14" s="17">
        <f t="shared" si="1"/>
        <v>891</v>
      </c>
      <c r="U14" s="18">
        <v>1345</v>
      </c>
      <c r="V14" s="17">
        <v>1325</v>
      </c>
      <c r="W14" s="17">
        <v>1325</v>
      </c>
      <c r="X14" s="17">
        <f t="shared" si="2"/>
        <v>1325</v>
      </c>
      <c r="Y14" s="20">
        <f t="shared" si="3"/>
        <v>3.0320366132723113</v>
      </c>
      <c r="Z14" s="17">
        <f t="shared" si="4"/>
        <v>434</v>
      </c>
      <c r="AA14" s="20">
        <f t="shared" si="5"/>
        <v>3.875</v>
      </c>
      <c r="AB14" s="21">
        <v>54</v>
      </c>
      <c r="AC14" s="22">
        <f t="shared" si="6"/>
        <v>6.670239630000002</v>
      </c>
      <c r="AD14" s="23">
        <v>14.321999999999999</v>
      </c>
      <c r="AE14" s="24">
        <f t="shared" si="7"/>
        <v>1.0648327137546467</v>
      </c>
      <c r="AF14" s="23">
        <v>0.211701</v>
      </c>
      <c r="AG14" s="23">
        <v>3.6063000000000001</v>
      </c>
      <c r="AH14" s="23">
        <v>0.29133700000000001</v>
      </c>
      <c r="AI14" s="25">
        <v>40</v>
      </c>
      <c r="AJ14" s="26">
        <v>4</v>
      </c>
      <c r="AK14" s="26">
        <v>7</v>
      </c>
      <c r="AL14" s="27">
        <v>14.5</v>
      </c>
      <c r="AM14" s="27">
        <v>11</v>
      </c>
      <c r="AN14" s="27">
        <f t="shared" si="8"/>
        <v>159.5</v>
      </c>
      <c r="AO14" s="63">
        <f>(AA14/3.6)*100</f>
        <v>107.63888888888889</v>
      </c>
      <c r="AP14" s="63">
        <f>(AE14/1.1)*100</f>
        <v>96.802973977695146</v>
      </c>
      <c r="AQ14" s="63">
        <f>(Y14/2.74)*100</f>
        <v>110.65827055738362</v>
      </c>
      <c r="AR14" s="63">
        <f>(AG14/3.56)*100</f>
        <v>101.30056179775282</v>
      </c>
      <c r="AS14" s="63">
        <f>(AI14/41.5)*100</f>
        <v>96.385542168674704</v>
      </c>
      <c r="AT14" s="63">
        <f t="shared" si="9"/>
        <v>103.68258215010046</v>
      </c>
      <c r="AU14" s="30" t="s">
        <v>195</v>
      </c>
      <c r="AV14" s="30"/>
      <c r="AW14" s="30"/>
      <c r="AX14" s="30"/>
      <c r="AY14" s="29"/>
      <c r="AZ14" s="30"/>
      <c r="BA14" s="30"/>
      <c r="BB14" s="29"/>
      <c r="BC14" s="30"/>
      <c r="BD14" s="30"/>
      <c r="BE14" s="30"/>
      <c r="BF14" s="30"/>
      <c r="BG14" s="30"/>
      <c r="BH14" s="29"/>
      <c r="BI14" s="30"/>
      <c r="BJ14" s="30"/>
      <c r="BK14" s="30"/>
      <c r="BL14" s="29"/>
      <c r="BM14" s="30"/>
      <c r="BN14" s="29"/>
      <c r="BO14" s="30"/>
      <c r="BP14" s="30"/>
      <c r="BQ14" s="30"/>
      <c r="BR14" s="30"/>
      <c r="BS14" s="31"/>
      <c r="BT14" s="30"/>
      <c r="BU14" s="30"/>
    </row>
    <row r="15" spans="1:251" x14ac:dyDescent="0.2">
      <c r="A15" s="81">
        <v>3</v>
      </c>
      <c r="B15" s="11" t="s">
        <v>52</v>
      </c>
      <c r="C15" s="11" t="s">
        <v>174</v>
      </c>
      <c r="D15" s="32" t="s">
        <v>62</v>
      </c>
      <c r="E15" s="12" t="s">
        <v>70</v>
      </c>
      <c r="F15" s="11" t="s">
        <v>51</v>
      </c>
      <c r="G15" s="13">
        <v>42644</v>
      </c>
      <c r="I15" s="13">
        <v>43041</v>
      </c>
      <c r="J15" s="14">
        <v>43152</v>
      </c>
      <c r="K15" s="15">
        <v>100</v>
      </c>
      <c r="L15" s="16">
        <f t="shared" si="0"/>
        <v>508</v>
      </c>
      <c r="M15" s="16">
        <v>836</v>
      </c>
      <c r="N15" s="16">
        <v>848</v>
      </c>
      <c r="O15" s="16">
        <v>842</v>
      </c>
      <c r="P15" s="17">
        <f>AVERAGE(N15:N15)</f>
        <v>848</v>
      </c>
      <c r="U15" s="18">
        <v>1320</v>
      </c>
      <c r="V15" s="17">
        <v>1330</v>
      </c>
      <c r="W15" s="19">
        <v>1340</v>
      </c>
      <c r="X15" s="17">
        <f t="shared" si="2"/>
        <v>1335</v>
      </c>
      <c r="Y15" s="20">
        <f t="shared" si="3"/>
        <v>2.627952755905512</v>
      </c>
      <c r="Z15" s="17">
        <f t="shared" si="4"/>
        <v>487</v>
      </c>
      <c r="AA15" s="20">
        <f t="shared" si="5"/>
        <v>4.3482142857142856</v>
      </c>
      <c r="AB15" s="21">
        <v>52</v>
      </c>
      <c r="AC15" s="22">
        <f t="shared" si="6"/>
        <v>5.0432004800000021</v>
      </c>
      <c r="AD15" s="23">
        <v>13.195600000000001</v>
      </c>
      <c r="AE15" s="24">
        <f t="shared" si="7"/>
        <v>0.9996666666666667</v>
      </c>
      <c r="AF15" s="23">
        <v>0.168097</v>
      </c>
      <c r="AG15" s="23">
        <v>3.6923300000000001</v>
      </c>
      <c r="AH15" s="23">
        <v>0.26641399999999998</v>
      </c>
      <c r="AI15" s="25">
        <v>44</v>
      </c>
      <c r="AJ15" s="26">
        <v>3</v>
      </c>
      <c r="AK15" s="26">
        <v>7</v>
      </c>
      <c r="AL15" s="27">
        <v>16</v>
      </c>
      <c r="AM15" s="27">
        <v>13</v>
      </c>
      <c r="AN15" s="27">
        <f t="shared" si="8"/>
        <v>208</v>
      </c>
      <c r="AO15" s="63">
        <f>(AA15/4.07)*100</f>
        <v>106.83573183573183</v>
      </c>
      <c r="AP15" s="63">
        <f>(AE15/1.08)*100</f>
        <v>92.561728395061721</v>
      </c>
      <c r="AQ15" s="63">
        <f>(Y15/2.61)*100</f>
        <v>100.68784505385105</v>
      </c>
      <c r="AR15" s="63">
        <f>(AG15/3.55)*100</f>
        <v>104.00929577464791</v>
      </c>
      <c r="AS15" s="63">
        <f>(AI15/38.1)*100</f>
        <v>115.48556430446193</v>
      </c>
      <c r="AT15" s="63">
        <f t="shared" si="9"/>
        <v>103.05104982587788</v>
      </c>
      <c r="AU15" s="30" t="s">
        <v>194</v>
      </c>
      <c r="AV15" s="30"/>
      <c r="AW15" s="30"/>
      <c r="AX15" s="30"/>
      <c r="AY15" s="29"/>
      <c r="AZ15" s="30"/>
      <c r="BA15" s="30"/>
      <c r="BC15" s="30"/>
      <c r="BD15" s="30"/>
      <c r="BE15" s="30"/>
      <c r="BF15" s="30"/>
      <c r="BG15" s="30"/>
      <c r="BH15" s="29"/>
      <c r="BI15" s="30"/>
      <c r="BJ15" s="30"/>
      <c r="BK15" s="30"/>
      <c r="BL15" s="29"/>
      <c r="BM15" s="30"/>
      <c r="BN15" s="29"/>
      <c r="BO15" s="30"/>
      <c r="BP15" s="30"/>
      <c r="BQ15" s="30"/>
      <c r="BR15" s="30"/>
      <c r="BS15" s="31"/>
      <c r="BT15" s="30"/>
      <c r="BU15" s="30"/>
    </row>
    <row r="16" spans="1:251" s="35" customFormat="1" ht="15.75" x14ac:dyDescent="0.25">
      <c r="A16" s="81">
        <v>94</v>
      </c>
      <c r="B16" s="11" t="s">
        <v>52</v>
      </c>
      <c r="C16" s="11" t="s">
        <v>174</v>
      </c>
      <c r="D16" s="32" t="s">
        <v>48</v>
      </c>
      <c r="E16" s="12" t="s">
        <v>177</v>
      </c>
      <c r="F16" s="11" t="s">
        <v>59</v>
      </c>
      <c r="G16" s="13">
        <v>42646</v>
      </c>
      <c r="H16" s="13"/>
      <c r="I16" s="13">
        <v>43041</v>
      </c>
      <c r="J16" s="14">
        <v>43152</v>
      </c>
      <c r="K16" s="15">
        <v>127</v>
      </c>
      <c r="L16" s="16">
        <f t="shared" si="0"/>
        <v>506</v>
      </c>
      <c r="M16" s="16"/>
      <c r="N16" s="11">
        <v>640</v>
      </c>
      <c r="O16" s="16">
        <v>666</v>
      </c>
      <c r="P16" s="17">
        <f t="shared" ref="P16:P44" si="10">AVERAGE(N16:O16)</f>
        <v>653</v>
      </c>
      <c r="Q16" s="17"/>
      <c r="R16" s="17"/>
      <c r="S16" s="17"/>
      <c r="T16" s="17"/>
      <c r="U16" s="18">
        <v>1100</v>
      </c>
      <c r="V16" s="17">
        <v>1100</v>
      </c>
      <c r="W16" s="17">
        <v>1115</v>
      </c>
      <c r="X16" s="17">
        <f t="shared" si="2"/>
        <v>1107.5</v>
      </c>
      <c r="Y16" s="20">
        <f t="shared" si="3"/>
        <v>2.1887351778656128</v>
      </c>
      <c r="Z16" s="17">
        <f t="shared" si="4"/>
        <v>454.5</v>
      </c>
      <c r="AA16" s="20">
        <f t="shared" si="5"/>
        <v>4.0580357142857144</v>
      </c>
      <c r="AB16" s="21">
        <v>49.5</v>
      </c>
      <c r="AC16" s="22">
        <f t="shared" si="6"/>
        <v>3.7962907200000005</v>
      </c>
      <c r="AD16" s="23">
        <v>12.539300000000001</v>
      </c>
      <c r="AE16" s="24">
        <f t="shared" si="7"/>
        <v>1.1399363636363635</v>
      </c>
      <c r="AF16" s="23">
        <v>0.151749</v>
      </c>
      <c r="AG16" s="23">
        <v>4.1319699999999999</v>
      </c>
      <c r="AH16" s="23">
        <v>0.195997</v>
      </c>
      <c r="AI16" s="25">
        <v>37.5</v>
      </c>
      <c r="AJ16" s="26">
        <v>2</v>
      </c>
      <c r="AK16" s="26">
        <v>6</v>
      </c>
      <c r="AL16" s="27">
        <v>15</v>
      </c>
      <c r="AM16" s="27">
        <v>11.5</v>
      </c>
      <c r="AN16" s="27">
        <f t="shared" si="8"/>
        <v>172.5</v>
      </c>
      <c r="AO16" s="63">
        <f>(AA16/3.6)*100</f>
        <v>112.72321428571428</v>
      </c>
      <c r="AP16" s="63">
        <f>(AE16/1.1)*100</f>
        <v>103.63057851239668</v>
      </c>
      <c r="AQ16" s="63">
        <f>(Y16/2.74)*100</f>
        <v>79.88084590750411</v>
      </c>
      <c r="AR16" s="63">
        <f>(AG16/3.56)*100</f>
        <v>116.06657303370787</v>
      </c>
      <c r="AS16" s="63">
        <f>(AI16/41.5)*100</f>
        <v>90.361445783132538</v>
      </c>
      <c r="AT16" s="63">
        <f t="shared" si="9"/>
        <v>102.76870835474928</v>
      </c>
      <c r="AU16" s="11" t="s">
        <v>194</v>
      </c>
      <c r="AV16" s="11"/>
      <c r="AW16" s="73"/>
      <c r="AX16" s="73"/>
      <c r="AY16" s="72"/>
      <c r="AZ16" s="73"/>
      <c r="BA16" s="73"/>
      <c r="BB16" s="54"/>
      <c r="BC16" s="73"/>
      <c r="BD16" s="73"/>
      <c r="BE16" s="73"/>
      <c r="BF16" s="73"/>
      <c r="BG16" s="73"/>
      <c r="BH16" s="72"/>
      <c r="BI16" s="73"/>
      <c r="BJ16" s="73"/>
      <c r="BK16" s="73"/>
      <c r="BL16" s="72"/>
      <c r="BM16" s="73"/>
      <c r="BN16" s="72"/>
      <c r="BO16" s="73"/>
      <c r="BP16" s="73"/>
      <c r="BQ16" s="73"/>
      <c r="BR16" s="73"/>
      <c r="BS16" s="74"/>
      <c r="BT16" s="73"/>
      <c r="BU16" s="73"/>
    </row>
    <row r="17" spans="1:251" x14ac:dyDescent="0.2">
      <c r="A17" s="81">
        <v>59</v>
      </c>
      <c r="B17" s="11" t="s">
        <v>52</v>
      </c>
      <c r="C17" s="11" t="s">
        <v>174</v>
      </c>
      <c r="D17" s="11" t="s">
        <v>117</v>
      </c>
      <c r="E17" s="12" t="s">
        <v>126</v>
      </c>
      <c r="F17" s="11" t="s">
        <v>59</v>
      </c>
      <c r="G17" s="13">
        <v>42645</v>
      </c>
      <c r="I17" s="13">
        <v>43041</v>
      </c>
      <c r="J17" s="14">
        <v>43152</v>
      </c>
      <c r="K17" s="15">
        <v>111</v>
      </c>
      <c r="L17" s="16">
        <f t="shared" si="0"/>
        <v>507</v>
      </c>
      <c r="M17" s="16">
        <v>860</v>
      </c>
      <c r="N17" s="16">
        <v>910</v>
      </c>
      <c r="O17" s="16">
        <v>948</v>
      </c>
      <c r="P17" s="17">
        <f t="shared" si="10"/>
        <v>929</v>
      </c>
      <c r="U17" s="18">
        <v>1365</v>
      </c>
      <c r="V17" s="17">
        <v>1350</v>
      </c>
      <c r="W17" s="19">
        <v>1345</v>
      </c>
      <c r="X17" s="17">
        <f t="shared" si="2"/>
        <v>1347.5</v>
      </c>
      <c r="Y17" s="20">
        <f t="shared" si="3"/>
        <v>2.6577909270216962</v>
      </c>
      <c r="Z17" s="17">
        <f t="shared" si="4"/>
        <v>418.5</v>
      </c>
      <c r="AA17" s="20">
        <f t="shared" si="5"/>
        <v>3.7366071428571428</v>
      </c>
      <c r="AB17" s="21">
        <v>54</v>
      </c>
      <c r="AC17" s="22">
        <f t="shared" si="6"/>
        <v>6.0600692300000025</v>
      </c>
      <c r="AD17" s="23">
        <v>14.9574</v>
      </c>
      <c r="AE17" s="24">
        <f t="shared" si="7"/>
        <v>1.0957802197802198</v>
      </c>
      <c r="AF17" s="23">
        <v>0.249997</v>
      </c>
      <c r="AG17" s="23">
        <v>4.0047199999999998</v>
      </c>
      <c r="AH17" s="23">
        <v>0.33698099999999998</v>
      </c>
      <c r="AI17" s="25">
        <v>38.5</v>
      </c>
      <c r="AJ17" s="26">
        <v>4</v>
      </c>
      <c r="AK17" s="26">
        <v>6</v>
      </c>
      <c r="AL17" s="27">
        <v>16</v>
      </c>
      <c r="AM17" s="27">
        <v>13.5</v>
      </c>
      <c r="AN17" s="27">
        <f t="shared" si="8"/>
        <v>216</v>
      </c>
      <c r="AO17" s="63">
        <f>(AA17/3.6)*100</f>
        <v>103.79464285714286</v>
      </c>
      <c r="AP17" s="63">
        <f>(AE17/1.1)*100</f>
        <v>99.616383616383615</v>
      </c>
      <c r="AQ17" s="63">
        <f>(Y17/2.74)*100</f>
        <v>96.999668869404971</v>
      </c>
      <c r="AR17" s="63">
        <f>(AG17/3.56)*100</f>
        <v>112.49213483146067</v>
      </c>
      <c r="AS17" s="63">
        <f>(AI17/41.5)*100</f>
        <v>92.771084337349393</v>
      </c>
      <c r="AT17" s="63">
        <f t="shared" si="9"/>
        <v>102.23713875432766</v>
      </c>
      <c r="AU17" s="30" t="s">
        <v>194</v>
      </c>
      <c r="AV17" s="30"/>
      <c r="AW17" s="30"/>
      <c r="AX17" s="30"/>
      <c r="AY17" s="29"/>
      <c r="AZ17" s="30"/>
      <c r="BA17" s="30"/>
      <c r="BC17" s="30"/>
      <c r="BD17" s="30"/>
      <c r="BE17" s="30"/>
      <c r="BF17" s="30"/>
      <c r="BG17" s="30"/>
      <c r="BH17" s="29"/>
      <c r="BI17" s="30"/>
      <c r="BJ17" s="30"/>
      <c r="BK17" s="30"/>
      <c r="BL17" s="29"/>
      <c r="BM17" s="30"/>
      <c r="BN17" s="29"/>
      <c r="BO17" s="30"/>
      <c r="BP17" s="30"/>
      <c r="BQ17" s="30"/>
      <c r="BR17" s="30"/>
      <c r="BS17" s="31"/>
      <c r="BT17" s="30"/>
      <c r="BU17" s="30"/>
    </row>
    <row r="18" spans="1:251" x14ac:dyDescent="0.2">
      <c r="A18" s="81">
        <v>10</v>
      </c>
      <c r="B18" s="11" t="s">
        <v>52</v>
      </c>
      <c r="C18" s="11" t="s">
        <v>174</v>
      </c>
      <c r="D18" s="32" t="s">
        <v>49</v>
      </c>
      <c r="E18" s="12" t="s">
        <v>76</v>
      </c>
      <c r="F18" s="11" t="s">
        <v>50</v>
      </c>
      <c r="G18" s="13">
        <v>42689</v>
      </c>
      <c r="I18" s="13">
        <v>43041</v>
      </c>
      <c r="J18" s="14">
        <v>43152</v>
      </c>
      <c r="K18" s="15">
        <v>101</v>
      </c>
      <c r="L18" s="16">
        <f t="shared" si="0"/>
        <v>463</v>
      </c>
      <c r="M18" s="16">
        <v>772</v>
      </c>
      <c r="N18" s="16">
        <v>802</v>
      </c>
      <c r="O18" s="16">
        <v>808</v>
      </c>
      <c r="P18" s="17">
        <f t="shared" si="10"/>
        <v>805</v>
      </c>
      <c r="U18" s="18">
        <v>1250</v>
      </c>
      <c r="V18" s="17">
        <v>1230</v>
      </c>
      <c r="W18" s="19">
        <v>1260</v>
      </c>
      <c r="X18" s="17">
        <f t="shared" si="2"/>
        <v>1245</v>
      </c>
      <c r="Y18" s="20">
        <f t="shared" si="3"/>
        <v>2.6889848812095032</v>
      </c>
      <c r="Z18" s="17">
        <f t="shared" si="4"/>
        <v>440</v>
      </c>
      <c r="AA18" s="20">
        <f t="shared" si="5"/>
        <v>3.9285714285714284</v>
      </c>
      <c r="AB18" s="21">
        <v>52</v>
      </c>
      <c r="AC18" s="22">
        <f t="shared" si="6"/>
        <v>5.414802830000002</v>
      </c>
      <c r="AD18" s="23">
        <v>12.952400000000001</v>
      </c>
      <c r="AE18" s="24">
        <f t="shared" si="7"/>
        <v>1.036192</v>
      </c>
      <c r="AF18" s="23">
        <v>0.291848</v>
      </c>
      <c r="AG18" s="23">
        <v>3.4580899999999999</v>
      </c>
      <c r="AH18" s="23">
        <v>0.46005499999999999</v>
      </c>
      <c r="AI18" s="25">
        <v>43.5</v>
      </c>
      <c r="AJ18" s="26">
        <v>2</v>
      </c>
      <c r="AK18" s="26">
        <v>7</v>
      </c>
      <c r="AL18" s="27">
        <v>14</v>
      </c>
      <c r="AM18" s="27">
        <v>11</v>
      </c>
      <c r="AN18" s="27">
        <f t="shared" si="8"/>
        <v>154</v>
      </c>
      <c r="AO18" s="63">
        <f>(AA18/3.99)*100</f>
        <v>98.460436806301459</v>
      </c>
      <c r="AP18" s="63">
        <f>(AE18/1.07)*100</f>
        <v>96.840373831775693</v>
      </c>
      <c r="AQ18" s="63">
        <f>(Y18/2.67)*100</f>
        <v>100.7110442400563</v>
      </c>
      <c r="AR18" s="63">
        <f>(AG18/3.07)*100</f>
        <v>112.6413680781759</v>
      </c>
      <c r="AS18" s="63">
        <f>(AI18/42)*100</f>
        <v>103.57142857142858</v>
      </c>
      <c r="AT18" s="63">
        <f t="shared" si="9"/>
        <v>101.93383112903489</v>
      </c>
      <c r="AU18" s="30" t="s">
        <v>195</v>
      </c>
      <c r="AV18" s="30"/>
    </row>
    <row r="19" spans="1:251" x14ac:dyDescent="0.2">
      <c r="A19" s="81">
        <v>77</v>
      </c>
      <c r="B19" s="11" t="s">
        <v>52</v>
      </c>
      <c r="C19" s="11" t="s">
        <v>174</v>
      </c>
      <c r="D19" s="11" t="s">
        <v>148</v>
      </c>
      <c r="E19" s="12" t="s">
        <v>151</v>
      </c>
      <c r="F19" s="11" t="s">
        <v>149</v>
      </c>
      <c r="G19" s="13">
        <v>42629</v>
      </c>
      <c r="I19" s="13">
        <v>43041</v>
      </c>
      <c r="J19" s="14">
        <v>43152</v>
      </c>
      <c r="K19" s="15">
        <v>117</v>
      </c>
      <c r="L19" s="16">
        <f t="shared" si="0"/>
        <v>523</v>
      </c>
      <c r="M19" s="16">
        <v>1260</v>
      </c>
      <c r="N19" s="16">
        <v>1250</v>
      </c>
      <c r="O19" s="16">
        <v>1270</v>
      </c>
      <c r="P19" s="17">
        <f t="shared" si="10"/>
        <v>1260</v>
      </c>
      <c r="U19" s="18">
        <v>1645</v>
      </c>
      <c r="V19" s="17">
        <v>1680</v>
      </c>
      <c r="W19" s="19">
        <v>1675</v>
      </c>
      <c r="X19" s="17">
        <f t="shared" si="2"/>
        <v>1677.5</v>
      </c>
      <c r="Y19" s="20">
        <f t="shared" si="3"/>
        <v>3.2074569789674952</v>
      </c>
      <c r="Z19" s="17">
        <f t="shared" si="4"/>
        <v>417.5</v>
      </c>
      <c r="AA19" s="20">
        <f t="shared" si="5"/>
        <v>3.7276785714285716</v>
      </c>
      <c r="AB19" s="21">
        <v>57</v>
      </c>
      <c r="AC19" s="22">
        <f t="shared" si="6"/>
        <v>7.4631970299999999</v>
      </c>
      <c r="AD19" s="23">
        <v>15.280900000000001</v>
      </c>
      <c r="AE19" s="24">
        <f t="shared" si="7"/>
        <v>0.92893009118541026</v>
      </c>
      <c r="AF19" s="23">
        <v>0.23961199999999999</v>
      </c>
      <c r="AG19" s="23">
        <v>4.0075399999999997</v>
      </c>
      <c r="AH19" s="23">
        <v>0.26938499999999999</v>
      </c>
      <c r="AI19" s="25">
        <v>43</v>
      </c>
      <c r="AJ19" s="26">
        <v>1</v>
      </c>
      <c r="AK19" s="26">
        <v>7</v>
      </c>
      <c r="AL19" s="27">
        <v>15.5</v>
      </c>
      <c r="AM19" s="27">
        <v>12.5</v>
      </c>
      <c r="AN19" s="27">
        <f t="shared" si="8"/>
        <v>193.75</v>
      </c>
      <c r="AO19" s="63">
        <f>(AA19/3.65)*100</f>
        <v>102.12818003913895</v>
      </c>
      <c r="AP19" s="63">
        <f>(AE19/1.05)*100</f>
        <v>88.46953249384859</v>
      </c>
      <c r="AQ19" s="63">
        <f>(Y19/2.85)*100</f>
        <v>112.54235013921034</v>
      </c>
      <c r="AR19" s="63">
        <f>(AG19/3.97)*100</f>
        <v>100.94559193954657</v>
      </c>
      <c r="AS19" s="63">
        <f>(AI19/40.3)*100</f>
        <v>106.69975186104219</v>
      </c>
      <c r="AT19" s="63">
        <f t="shared" si="9"/>
        <v>101.69992411236701</v>
      </c>
      <c r="AU19" s="30" t="s">
        <v>194</v>
      </c>
      <c r="AV19" s="30"/>
      <c r="AW19" s="30"/>
      <c r="AX19" s="30"/>
      <c r="AY19" s="29"/>
      <c r="AZ19" s="30"/>
      <c r="BA19" s="30"/>
      <c r="BC19" s="30"/>
      <c r="BD19" s="30"/>
      <c r="BE19" s="30"/>
      <c r="BF19" s="30"/>
      <c r="BG19" s="30"/>
      <c r="BH19" s="29"/>
      <c r="BI19" s="30"/>
      <c r="BJ19" s="30"/>
      <c r="BK19" s="30"/>
      <c r="BL19" s="29"/>
      <c r="BM19" s="30"/>
      <c r="BN19" s="29"/>
      <c r="BO19" s="30"/>
      <c r="BP19" s="30"/>
      <c r="BQ19" s="30"/>
      <c r="BR19" s="30"/>
      <c r="BS19" s="31"/>
      <c r="BT19" s="30"/>
      <c r="BU19" s="30"/>
    </row>
    <row r="20" spans="1:251" x14ac:dyDescent="0.2">
      <c r="A20" s="81">
        <v>28</v>
      </c>
      <c r="B20" s="11" t="s">
        <v>52</v>
      </c>
      <c r="C20" s="11" t="s">
        <v>174</v>
      </c>
      <c r="D20" s="32" t="s">
        <v>103</v>
      </c>
      <c r="E20" s="12" t="s">
        <v>91</v>
      </c>
      <c r="F20" s="11" t="s">
        <v>59</v>
      </c>
      <c r="G20" s="13">
        <v>42643</v>
      </c>
      <c r="I20" s="13">
        <v>43041</v>
      </c>
      <c r="J20" s="14">
        <v>43152</v>
      </c>
      <c r="K20" s="37">
        <v>106</v>
      </c>
      <c r="L20" s="16">
        <f t="shared" si="0"/>
        <v>509</v>
      </c>
      <c r="M20" s="16">
        <v>1025</v>
      </c>
      <c r="N20" s="16">
        <v>1105</v>
      </c>
      <c r="O20" s="16">
        <v>1135</v>
      </c>
      <c r="P20" s="17">
        <f t="shared" si="10"/>
        <v>1120</v>
      </c>
      <c r="U20" s="18">
        <v>1570</v>
      </c>
      <c r="V20" s="17">
        <v>1540</v>
      </c>
      <c r="W20" s="17">
        <v>1545</v>
      </c>
      <c r="X20" s="17">
        <f t="shared" si="2"/>
        <v>1542.5</v>
      </c>
      <c r="Y20" s="20">
        <f t="shared" si="3"/>
        <v>3.0304518664047153</v>
      </c>
      <c r="Z20" s="17">
        <f t="shared" si="4"/>
        <v>422.5</v>
      </c>
      <c r="AA20" s="20">
        <f t="shared" si="5"/>
        <v>3.7723214285714284</v>
      </c>
      <c r="AB20" s="21">
        <v>55</v>
      </c>
      <c r="AC20" s="22">
        <f t="shared" si="6"/>
        <v>6.5502400700000019</v>
      </c>
      <c r="AD20" s="23">
        <v>16.532</v>
      </c>
      <c r="AE20" s="24">
        <f t="shared" si="7"/>
        <v>1.0529936305732486</v>
      </c>
      <c r="AF20" s="23">
        <v>0.22234799999999999</v>
      </c>
      <c r="AG20" s="23">
        <v>3.26356</v>
      </c>
      <c r="AH20" s="23">
        <v>0.223277</v>
      </c>
      <c r="AI20" s="25">
        <v>44</v>
      </c>
      <c r="AJ20" s="26">
        <v>3</v>
      </c>
      <c r="AK20" s="26">
        <v>7</v>
      </c>
      <c r="AL20" s="27">
        <v>16</v>
      </c>
      <c r="AM20" s="27">
        <v>12</v>
      </c>
      <c r="AN20" s="27">
        <f t="shared" si="8"/>
        <v>192</v>
      </c>
      <c r="AO20" s="63">
        <f>(AA20/3.6)*100</f>
        <v>104.78670634920636</v>
      </c>
      <c r="AP20" s="63">
        <f>(AE20/1.1)*100</f>
        <v>95.726693688477141</v>
      </c>
      <c r="AQ20" s="63">
        <f>(Y20/2.74)*100</f>
        <v>110.60043308046406</v>
      </c>
      <c r="AR20" s="63">
        <f>(AG20/3.56)*100</f>
        <v>91.673033707865173</v>
      </c>
      <c r="AS20" s="63">
        <f>(AI20/41.5)*100</f>
        <v>106.02409638554218</v>
      </c>
      <c r="AT20" s="63">
        <f t="shared" si="9"/>
        <v>101.63845363867742</v>
      </c>
      <c r="AU20" s="11" t="s">
        <v>194</v>
      </c>
    </row>
    <row r="21" spans="1:251" x14ac:dyDescent="0.2">
      <c r="A21" s="82">
        <v>38</v>
      </c>
      <c r="B21" s="11" t="s">
        <v>52</v>
      </c>
      <c r="C21" s="11" t="s">
        <v>174</v>
      </c>
      <c r="D21" s="32" t="s">
        <v>103</v>
      </c>
      <c r="E21" s="12" t="s">
        <v>100</v>
      </c>
      <c r="F21" s="11" t="s">
        <v>54</v>
      </c>
      <c r="G21" s="13">
        <v>42667</v>
      </c>
      <c r="I21" s="13">
        <v>43041</v>
      </c>
      <c r="J21" s="14">
        <v>43152</v>
      </c>
      <c r="K21" s="37">
        <v>106</v>
      </c>
      <c r="L21" s="16">
        <f t="shared" si="0"/>
        <v>485</v>
      </c>
      <c r="M21" s="16">
        <v>740</v>
      </c>
      <c r="N21" s="16">
        <v>836</v>
      </c>
      <c r="O21" s="16">
        <v>852</v>
      </c>
      <c r="P21" s="17">
        <f t="shared" si="10"/>
        <v>844</v>
      </c>
      <c r="U21" s="18">
        <v>1160</v>
      </c>
      <c r="V21" s="17">
        <v>1160</v>
      </c>
      <c r="W21" s="17">
        <v>1160</v>
      </c>
      <c r="X21" s="17">
        <f t="shared" si="2"/>
        <v>1160</v>
      </c>
      <c r="Y21" s="20">
        <f t="shared" si="3"/>
        <v>2.3917525773195876</v>
      </c>
      <c r="Z21" s="17">
        <f t="shared" si="4"/>
        <v>316</v>
      </c>
      <c r="AA21" s="20">
        <f t="shared" si="5"/>
        <v>2.8214285714285716</v>
      </c>
      <c r="AB21" s="21">
        <v>55</v>
      </c>
      <c r="AC21" s="22">
        <f t="shared" si="6"/>
        <v>6.7352757500000022</v>
      </c>
      <c r="AD21" s="23">
        <v>13.2781</v>
      </c>
      <c r="AE21" s="24">
        <f t="shared" si="7"/>
        <v>1.1446637931034482</v>
      </c>
      <c r="AF21" s="23">
        <v>0.33060600000000001</v>
      </c>
      <c r="AG21" s="23">
        <v>3.66181</v>
      </c>
      <c r="AH21" s="23">
        <v>0.38995800000000003</v>
      </c>
      <c r="AI21" s="25">
        <v>37.5</v>
      </c>
      <c r="AJ21" s="26">
        <v>3</v>
      </c>
      <c r="AK21" s="26">
        <v>6</v>
      </c>
      <c r="AL21" s="27">
        <v>16</v>
      </c>
      <c r="AM21" s="27">
        <v>12</v>
      </c>
      <c r="AN21" s="27">
        <f t="shared" si="8"/>
        <v>192</v>
      </c>
      <c r="AO21" s="63">
        <f>(AA21/2.82)*100</f>
        <v>100.05065856129687</v>
      </c>
      <c r="AP21" s="63">
        <f>(AE21/1.16)*100</f>
        <v>98.677913198573137</v>
      </c>
      <c r="AQ21" s="63">
        <f>(Y21/2.39)*100</f>
        <v>100.07332959496182</v>
      </c>
      <c r="AR21" s="63">
        <f>(AG21/3.5)*100</f>
        <v>104.62314285714285</v>
      </c>
      <c r="AS21" s="63">
        <f>(AI21/37.2)*100</f>
        <v>100.80645161290323</v>
      </c>
      <c r="AT21" s="63">
        <f t="shared" si="9"/>
        <v>100.77071985981495</v>
      </c>
      <c r="AU21" s="11" t="s">
        <v>195</v>
      </c>
    </row>
    <row r="22" spans="1:251" x14ac:dyDescent="0.2">
      <c r="A22" s="81">
        <v>15</v>
      </c>
      <c r="B22" s="11" t="s">
        <v>52</v>
      </c>
      <c r="C22" s="11" t="s">
        <v>174</v>
      </c>
      <c r="D22" s="32" t="s">
        <v>49</v>
      </c>
      <c r="E22" s="12" t="s">
        <v>81</v>
      </c>
      <c r="F22" s="11" t="s">
        <v>50</v>
      </c>
      <c r="G22" s="13">
        <v>42667</v>
      </c>
      <c r="I22" s="13">
        <v>43041</v>
      </c>
      <c r="J22" s="14">
        <v>43152</v>
      </c>
      <c r="K22" s="15">
        <v>101</v>
      </c>
      <c r="L22" s="16">
        <f t="shared" si="0"/>
        <v>485</v>
      </c>
      <c r="M22" s="16">
        <v>798</v>
      </c>
      <c r="N22" s="16">
        <v>822</v>
      </c>
      <c r="O22" s="16">
        <v>802</v>
      </c>
      <c r="P22" s="17">
        <f t="shared" si="10"/>
        <v>812</v>
      </c>
      <c r="U22" s="18">
        <v>1290</v>
      </c>
      <c r="V22" s="17">
        <v>1285</v>
      </c>
      <c r="W22" s="17">
        <v>1290</v>
      </c>
      <c r="X22" s="17">
        <f t="shared" si="2"/>
        <v>1287.5</v>
      </c>
      <c r="Y22" s="20">
        <f t="shared" si="3"/>
        <v>2.6546391752577319</v>
      </c>
      <c r="Z22" s="17">
        <f t="shared" si="4"/>
        <v>475.5</v>
      </c>
      <c r="AA22" s="20">
        <f t="shared" si="5"/>
        <v>4.2455357142857144</v>
      </c>
      <c r="AB22" s="21">
        <v>52.5</v>
      </c>
      <c r="AC22" s="22">
        <f t="shared" si="6"/>
        <v>5.4752782500000015</v>
      </c>
      <c r="AD22" s="23">
        <v>14.181100000000001</v>
      </c>
      <c r="AE22" s="24">
        <f t="shared" si="7"/>
        <v>1.0993100775193798</v>
      </c>
      <c r="AF22" s="23">
        <v>0.32272099999999998</v>
      </c>
      <c r="AG22" s="23">
        <v>2.8771599999999999</v>
      </c>
      <c r="AH22" s="23">
        <v>0.51364799999999999</v>
      </c>
      <c r="AI22" s="25">
        <v>40</v>
      </c>
      <c r="AJ22" s="26">
        <v>3</v>
      </c>
      <c r="AK22" s="26">
        <v>7</v>
      </c>
      <c r="AL22" s="27">
        <v>14.5</v>
      </c>
      <c r="AM22" s="27">
        <v>11</v>
      </c>
      <c r="AN22" s="27">
        <f t="shared" si="8"/>
        <v>159.5</v>
      </c>
      <c r="AO22" s="63">
        <f>(AA22/3.99)*100</f>
        <v>106.40440386680987</v>
      </c>
      <c r="AP22" s="63">
        <f>(AE22/1.07)*100</f>
        <v>102.73925958125045</v>
      </c>
      <c r="AQ22" s="63">
        <f>(Y22/2.67)*100</f>
        <v>99.424688211900076</v>
      </c>
      <c r="AR22" s="63">
        <f>(AG22/3.07)*100</f>
        <v>93.718566775244312</v>
      </c>
      <c r="AS22" s="63">
        <f>(AI22/42)*100</f>
        <v>95.238095238095227</v>
      </c>
      <c r="AT22" s="63">
        <f t="shared" si="9"/>
        <v>100.62163359753146</v>
      </c>
      <c r="AU22" s="30" t="s">
        <v>194</v>
      </c>
      <c r="AV22" s="30"/>
    </row>
    <row r="23" spans="1:251" x14ac:dyDescent="0.2">
      <c r="A23" s="82">
        <v>39</v>
      </c>
      <c r="B23" s="11" t="s">
        <v>52</v>
      </c>
      <c r="C23" s="11" t="s">
        <v>174</v>
      </c>
      <c r="D23" s="32" t="s">
        <v>103</v>
      </c>
      <c r="E23" s="12" t="s">
        <v>101</v>
      </c>
      <c r="F23" s="11" t="s">
        <v>59</v>
      </c>
      <c r="G23" s="13">
        <v>42646</v>
      </c>
      <c r="I23" s="13">
        <v>43041</v>
      </c>
      <c r="J23" s="14">
        <v>43152</v>
      </c>
      <c r="K23" s="37">
        <v>106</v>
      </c>
      <c r="L23" s="16">
        <f t="shared" si="0"/>
        <v>506</v>
      </c>
      <c r="M23" s="16">
        <v>1050</v>
      </c>
      <c r="N23" s="16">
        <v>1070</v>
      </c>
      <c r="O23" s="16">
        <v>1110</v>
      </c>
      <c r="P23" s="17">
        <f t="shared" si="10"/>
        <v>1090</v>
      </c>
      <c r="U23" s="18">
        <v>1475</v>
      </c>
      <c r="V23" s="17">
        <v>1465</v>
      </c>
      <c r="W23" s="17">
        <v>1470</v>
      </c>
      <c r="X23" s="17">
        <f t="shared" si="2"/>
        <v>1467.5</v>
      </c>
      <c r="Y23" s="20">
        <f t="shared" si="3"/>
        <v>2.900197628458498</v>
      </c>
      <c r="Z23" s="17">
        <f t="shared" si="4"/>
        <v>377.5</v>
      </c>
      <c r="AA23" s="20">
        <f t="shared" si="5"/>
        <v>3.3705357142857144</v>
      </c>
      <c r="AB23" s="21">
        <v>56</v>
      </c>
      <c r="AC23" s="22">
        <f t="shared" si="6"/>
        <v>7.0768433200000009</v>
      </c>
      <c r="AD23" s="23">
        <v>16.7089</v>
      </c>
      <c r="AE23" s="24">
        <f t="shared" si="7"/>
        <v>1.1328067796610168</v>
      </c>
      <c r="AF23" s="23">
        <v>0.28578799999999999</v>
      </c>
      <c r="AG23" s="23">
        <v>3.5916899999999998</v>
      </c>
      <c r="AH23" s="23">
        <v>0.28683500000000001</v>
      </c>
      <c r="AI23" s="25">
        <v>43.5</v>
      </c>
      <c r="AJ23" s="26">
        <v>2</v>
      </c>
      <c r="AK23" s="26">
        <v>7</v>
      </c>
      <c r="AL23" s="27">
        <v>16</v>
      </c>
      <c r="AM23" s="27">
        <v>12</v>
      </c>
      <c r="AN23" s="27">
        <f t="shared" si="8"/>
        <v>192</v>
      </c>
      <c r="AO23" s="63">
        <f>(AA23/3.6)*100</f>
        <v>93.625992063492063</v>
      </c>
      <c r="AP23" s="63">
        <f>(AE23/1.1)*100</f>
        <v>102.98243451463789</v>
      </c>
      <c r="AQ23" s="63">
        <f>(Y23/2.74)*100</f>
        <v>105.84662877585758</v>
      </c>
      <c r="AR23" s="63">
        <f>(AG23/3.56)*100</f>
        <v>100.89016853932584</v>
      </c>
      <c r="AS23" s="63">
        <f>(AI23/41.5)*100</f>
        <v>104.81927710843372</v>
      </c>
      <c r="AT23" s="63">
        <f t="shared" si="9"/>
        <v>100.51357169585526</v>
      </c>
      <c r="AU23" s="11" t="s">
        <v>194</v>
      </c>
    </row>
    <row r="24" spans="1:251" x14ac:dyDescent="0.2">
      <c r="A24" s="81">
        <v>87</v>
      </c>
      <c r="B24" s="11" t="s">
        <v>46</v>
      </c>
      <c r="C24" s="11" t="s">
        <v>173</v>
      </c>
      <c r="D24" s="11" t="s">
        <v>155</v>
      </c>
      <c r="E24" s="12" t="s">
        <v>159</v>
      </c>
      <c r="F24" s="11" t="s">
        <v>154</v>
      </c>
      <c r="G24" s="13">
        <v>42817</v>
      </c>
      <c r="I24" s="13">
        <v>43041</v>
      </c>
      <c r="J24" s="14">
        <v>43152</v>
      </c>
      <c r="K24" s="15">
        <v>120</v>
      </c>
      <c r="L24" s="16">
        <f t="shared" si="0"/>
        <v>335</v>
      </c>
      <c r="M24" s="16">
        <v>726</v>
      </c>
      <c r="N24" s="16">
        <v>722</v>
      </c>
      <c r="O24" s="16">
        <v>730</v>
      </c>
      <c r="P24" s="17">
        <f t="shared" si="10"/>
        <v>726</v>
      </c>
      <c r="U24" s="18">
        <v>1285</v>
      </c>
      <c r="V24" s="17">
        <v>1300</v>
      </c>
      <c r="W24" s="19">
        <v>1330</v>
      </c>
      <c r="X24" s="17">
        <f t="shared" si="2"/>
        <v>1315</v>
      </c>
      <c r="Y24" s="20">
        <f t="shared" si="3"/>
        <v>3.9253731343283582</v>
      </c>
      <c r="Z24" s="17">
        <f t="shared" si="4"/>
        <v>589</v>
      </c>
      <c r="AA24" s="20">
        <f t="shared" si="5"/>
        <v>5.2589285714285712</v>
      </c>
      <c r="AB24" s="21">
        <v>51</v>
      </c>
      <c r="AC24" s="22">
        <f t="shared" si="6"/>
        <v>6.4039597500000003</v>
      </c>
      <c r="AD24" s="23">
        <v>13.3795</v>
      </c>
      <c r="AE24" s="24">
        <f t="shared" si="7"/>
        <v>1.041206225680934</v>
      </c>
      <c r="AF24" s="23">
        <v>0.19364899999999999</v>
      </c>
      <c r="AG24" s="23">
        <v>4.4188000000000001</v>
      </c>
      <c r="AH24" s="23">
        <v>0.18284400000000001</v>
      </c>
      <c r="AI24" s="25">
        <v>38</v>
      </c>
      <c r="AJ24" s="26">
        <v>1</v>
      </c>
      <c r="AK24" s="26">
        <v>6</v>
      </c>
      <c r="AL24" s="27">
        <v>16</v>
      </c>
      <c r="AM24" s="27">
        <v>12</v>
      </c>
      <c r="AN24" s="27">
        <f t="shared" si="8"/>
        <v>192</v>
      </c>
      <c r="AO24" s="63">
        <f>(AA24/3.49)*100</f>
        <v>150.68563241915675</v>
      </c>
      <c r="AP24" s="63">
        <f>(AE24/1.14)*100</f>
        <v>91.33387944569597</v>
      </c>
      <c r="AQ24" s="63">
        <f>(Y24/2.91)*100</f>
        <v>134.89254757142123</v>
      </c>
      <c r="AR24" s="63">
        <f>(AG24/3.63)*100</f>
        <v>121.73002754820936</v>
      </c>
      <c r="AS24" s="63">
        <f>(AI24/34.1)*100</f>
        <v>111.43695014662755</v>
      </c>
      <c r="AT24" s="63">
        <f t="shared" si="9"/>
        <v>125.9406756534751</v>
      </c>
      <c r="AU24" s="11" t="s">
        <v>194</v>
      </c>
      <c r="AW24" s="30"/>
      <c r="AX24" s="30"/>
      <c r="AY24" s="29"/>
      <c r="AZ24" s="30"/>
      <c r="BA24" s="30"/>
      <c r="BB24" s="29"/>
      <c r="BC24" s="30"/>
      <c r="BD24" s="30"/>
      <c r="BE24" s="30"/>
      <c r="BF24" s="30"/>
      <c r="BG24" s="30"/>
      <c r="BH24" s="29"/>
      <c r="BI24" s="30"/>
      <c r="BJ24" s="30"/>
      <c r="BK24" s="30"/>
      <c r="BL24" s="29"/>
      <c r="BM24" s="30"/>
      <c r="BN24" s="29"/>
      <c r="BO24" s="30"/>
      <c r="BP24" s="30"/>
      <c r="BQ24" s="30"/>
      <c r="BR24" s="30"/>
      <c r="BS24" s="31"/>
      <c r="BT24" s="30"/>
      <c r="BU24" s="30"/>
    </row>
    <row r="25" spans="1:251" s="32" customFormat="1" x14ac:dyDescent="0.2">
      <c r="A25" s="82">
        <v>84</v>
      </c>
      <c r="B25" s="11" t="s">
        <v>46</v>
      </c>
      <c r="C25" s="11" t="s">
        <v>173</v>
      </c>
      <c r="D25" s="11" t="s">
        <v>155</v>
      </c>
      <c r="E25" s="12" t="s">
        <v>156</v>
      </c>
      <c r="F25" s="11" t="s">
        <v>59</v>
      </c>
      <c r="G25" s="13">
        <v>42813</v>
      </c>
      <c r="H25" s="13"/>
      <c r="I25" s="13">
        <v>43041</v>
      </c>
      <c r="J25" s="14">
        <v>43152</v>
      </c>
      <c r="K25" s="15">
        <v>120</v>
      </c>
      <c r="L25" s="16">
        <f t="shared" si="0"/>
        <v>339</v>
      </c>
      <c r="M25" s="16">
        <v>720</v>
      </c>
      <c r="N25" s="16">
        <v>758</v>
      </c>
      <c r="O25" s="16">
        <v>760</v>
      </c>
      <c r="P25" s="17">
        <f t="shared" si="10"/>
        <v>759</v>
      </c>
      <c r="Q25" s="17"/>
      <c r="R25" s="17"/>
      <c r="S25" s="17"/>
      <c r="T25" s="17"/>
      <c r="U25" s="18">
        <v>1235</v>
      </c>
      <c r="V25" s="17">
        <v>1235</v>
      </c>
      <c r="W25" s="17">
        <v>1235</v>
      </c>
      <c r="X25" s="17">
        <f t="shared" si="2"/>
        <v>1235</v>
      </c>
      <c r="Y25" s="20">
        <f t="shared" si="3"/>
        <v>3.6430678466076696</v>
      </c>
      <c r="Z25" s="17">
        <f t="shared" si="4"/>
        <v>476</v>
      </c>
      <c r="AA25" s="20">
        <f t="shared" si="5"/>
        <v>4.25</v>
      </c>
      <c r="AB25" s="21">
        <v>54.5</v>
      </c>
      <c r="AC25" s="22">
        <f t="shared" si="6"/>
        <v>8.0945935700000007</v>
      </c>
      <c r="AD25" s="23">
        <v>13.5069</v>
      </c>
      <c r="AE25" s="24">
        <f t="shared" si="7"/>
        <v>1.0936761133603239</v>
      </c>
      <c r="AF25" s="23">
        <v>0.19906199999999999</v>
      </c>
      <c r="AG25" s="23">
        <v>4.3548299999999998</v>
      </c>
      <c r="AH25" s="23">
        <v>0.30430699999999999</v>
      </c>
      <c r="AI25" s="25">
        <v>36</v>
      </c>
      <c r="AJ25" s="26">
        <v>3</v>
      </c>
      <c r="AK25" s="26">
        <v>7</v>
      </c>
      <c r="AL25" s="27">
        <v>17</v>
      </c>
      <c r="AM25" s="27">
        <v>14</v>
      </c>
      <c r="AN25" s="27">
        <f t="shared" si="8"/>
        <v>238</v>
      </c>
      <c r="AO25" s="63">
        <f>(AA25/3.64)*100</f>
        <v>116.75824175824177</v>
      </c>
      <c r="AP25" s="63">
        <f>(AE25/1.17)*100</f>
        <v>93.476590885497785</v>
      </c>
      <c r="AQ25" s="63">
        <f>(Y25/2.97)*100</f>
        <v>122.66221705749729</v>
      </c>
      <c r="AR25" s="63">
        <f>(AG25/3.71)*100</f>
        <v>117.38086253369271</v>
      </c>
      <c r="AS25" s="63">
        <f>(AI25/33.6)*100</f>
        <v>107.14285714285714</v>
      </c>
      <c r="AT25" s="63">
        <f t="shared" si="9"/>
        <v>112.44569233709581</v>
      </c>
      <c r="AU25" s="11" t="s">
        <v>194</v>
      </c>
      <c r="AV25" s="11"/>
      <c r="AW25" s="11"/>
      <c r="AX25" s="34"/>
      <c r="AY25" s="16"/>
      <c r="AZ25" s="34"/>
      <c r="BA25" s="34"/>
      <c r="BB25" s="16"/>
      <c r="BC25" s="16"/>
      <c r="BD25" s="11"/>
      <c r="BE25" s="11"/>
      <c r="BF25" s="11"/>
      <c r="BG25" s="34"/>
      <c r="BH25" s="16"/>
      <c r="BI25" s="34"/>
      <c r="BJ25" s="34"/>
      <c r="BK25" s="11"/>
      <c r="BL25" s="11"/>
      <c r="BM25" s="11"/>
      <c r="BN25" s="11"/>
      <c r="BO25" s="34"/>
      <c r="BP25" s="11"/>
      <c r="BQ25" s="11"/>
      <c r="BR25" s="11"/>
      <c r="BS25" s="25"/>
      <c r="BT25" s="34"/>
      <c r="BU25" s="34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</row>
    <row r="26" spans="1:251" s="32" customFormat="1" x14ac:dyDescent="0.2">
      <c r="A26" s="81">
        <v>29</v>
      </c>
      <c r="B26" s="11" t="s">
        <v>46</v>
      </c>
      <c r="C26" s="11" t="s">
        <v>173</v>
      </c>
      <c r="D26" s="32" t="s">
        <v>103</v>
      </c>
      <c r="E26" s="12" t="s">
        <v>92</v>
      </c>
      <c r="F26" s="11" t="s">
        <v>59</v>
      </c>
      <c r="G26" s="13">
        <v>42818</v>
      </c>
      <c r="H26" s="13"/>
      <c r="I26" s="13">
        <v>43041</v>
      </c>
      <c r="J26" s="14">
        <v>43152</v>
      </c>
      <c r="K26" s="37">
        <v>106</v>
      </c>
      <c r="L26" s="16">
        <f t="shared" si="0"/>
        <v>334</v>
      </c>
      <c r="M26" s="16">
        <v>638</v>
      </c>
      <c r="N26" s="16">
        <v>694</v>
      </c>
      <c r="O26" s="16">
        <v>684</v>
      </c>
      <c r="P26" s="17">
        <f t="shared" si="10"/>
        <v>689</v>
      </c>
      <c r="Q26" s="17"/>
      <c r="R26" s="17"/>
      <c r="S26" s="17"/>
      <c r="T26" s="17"/>
      <c r="U26" s="18">
        <v>1140</v>
      </c>
      <c r="V26" s="17">
        <v>1175</v>
      </c>
      <c r="W26" s="17">
        <v>1165</v>
      </c>
      <c r="X26" s="17">
        <f t="shared" si="2"/>
        <v>1170</v>
      </c>
      <c r="Y26" s="20">
        <f t="shared" si="3"/>
        <v>3.5029940119760479</v>
      </c>
      <c r="Z26" s="17">
        <f t="shared" si="4"/>
        <v>481</v>
      </c>
      <c r="AA26" s="20">
        <f t="shared" si="5"/>
        <v>4.2946428571428568</v>
      </c>
      <c r="AB26" s="21">
        <v>51</v>
      </c>
      <c r="AC26" s="22">
        <f t="shared" si="6"/>
        <v>6.4181309200000012</v>
      </c>
      <c r="AD26" s="23">
        <v>13.038600000000001</v>
      </c>
      <c r="AE26" s="24">
        <f t="shared" si="7"/>
        <v>1.1437368421052632</v>
      </c>
      <c r="AF26" s="23">
        <v>0.152502</v>
      </c>
      <c r="AG26" s="23">
        <v>3.68005</v>
      </c>
      <c r="AH26" s="23">
        <v>0.148864</v>
      </c>
      <c r="AI26" s="25">
        <v>33</v>
      </c>
      <c r="AJ26" s="26">
        <v>2</v>
      </c>
      <c r="AK26" s="26">
        <v>6</v>
      </c>
      <c r="AL26" s="27">
        <v>14.5</v>
      </c>
      <c r="AM26" s="27">
        <v>11</v>
      </c>
      <c r="AN26" s="27">
        <f t="shared" si="8"/>
        <v>159.5</v>
      </c>
      <c r="AO26" s="63">
        <f>(AA26/3.64)*100</f>
        <v>117.98469387755102</v>
      </c>
      <c r="AP26" s="63">
        <f>(AE26/1.17)*100</f>
        <v>97.7552856500225</v>
      </c>
      <c r="AQ26" s="63">
        <f>(Y26/2.97)*100</f>
        <v>117.94592632915986</v>
      </c>
      <c r="AR26" s="63">
        <f>(AG26/3.71)*100</f>
        <v>99.192722371967662</v>
      </c>
      <c r="AS26" s="63">
        <f>(AI26/33.6)*100</f>
        <v>98.214285714285708</v>
      </c>
      <c r="AT26" s="63">
        <f t="shared" si="9"/>
        <v>108.19562360492388</v>
      </c>
      <c r="AU26" s="11" t="s">
        <v>195</v>
      </c>
      <c r="AV26" s="11"/>
      <c r="AW26" s="30"/>
      <c r="AX26" s="30"/>
      <c r="AY26" s="29"/>
      <c r="AZ26" s="30"/>
      <c r="BA26" s="30"/>
      <c r="BB26" s="16"/>
      <c r="BC26" s="30"/>
      <c r="BD26" s="30"/>
      <c r="BE26" s="30"/>
      <c r="BF26" s="30"/>
      <c r="BG26" s="30"/>
      <c r="BH26" s="29"/>
      <c r="BI26" s="30"/>
      <c r="BJ26" s="30"/>
      <c r="BK26" s="30"/>
      <c r="BL26" s="29"/>
      <c r="BM26" s="30"/>
      <c r="BN26" s="29"/>
      <c r="BO26" s="30"/>
      <c r="BP26" s="30"/>
      <c r="BQ26" s="30"/>
      <c r="BR26" s="30"/>
      <c r="BS26" s="31"/>
      <c r="BT26" s="30"/>
      <c r="BU26" s="30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</row>
    <row r="27" spans="1:251" x14ac:dyDescent="0.2">
      <c r="A27" s="81">
        <v>30</v>
      </c>
      <c r="B27" s="11" t="s">
        <v>46</v>
      </c>
      <c r="C27" s="11" t="s">
        <v>173</v>
      </c>
      <c r="D27" s="32" t="s">
        <v>103</v>
      </c>
      <c r="E27" s="12" t="s">
        <v>93</v>
      </c>
      <c r="F27" s="11" t="s">
        <v>59</v>
      </c>
      <c r="G27" s="13">
        <v>42763</v>
      </c>
      <c r="I27" s="13">
        <v>43041</v>
      </c>
      <c r="J27" s="14">
        <v>43152</v>
      </c>
      <c r="K27" s="37">
        <v>106</v>
      </c>
      <c r="L27" s="16">
        <f t="shared" si="0"/>
        <v>389</v>
      </c>
      <c r="M27" s="16">
        <v>784</v>
      </c>
      <c r="N27" s="16">
        <v>846</v>
      </c>
      <c r="O27" s="16">
        <v>864</v>
      </c>
      <c r="P27" s="17">
        <f t="shared" si="10"/>
        <v>855</v>
      </c>
      <c r="U27" s="18">
        <v>1285</v>
      </c>
      <c r="V27" s="17">
        <v>1325</v>
      </c>
      <c r="W27" s="17">
        <v>1315</v>
      </c>
      <c r="X27" s="17">
        <f t="shared" si="2"/>
        <v>1320</v>
      </c>
      <c r="Y27" s="20">
        <f t="shared" si="3"/>
        <v>3.3933161953727504</v>
      </c>
      <c r="Z27" s="17">
        <f t="shared" si="4"/>
        <v>465</v>
      </c>
      <c r="AA27" s="20">
        <f t="shared" si="5"/>
        <v>4.1517857142857144</v>
      </c>
      <c r="AB27" s="21">
        <v>55</v>
      </c>
      <c r="AC27" s="22">
        <f t="shared" si="6"/>
        <v>7.6997128700000017</v>
      </c>
      <c r="AD27" s="23">
        <v>14.0877</v>
      </c>
      <c r="AE27" s="24">
        <f t="shared" si="7"/>
        <v>1.0963190661478599</v>
      </c>
      <c r="AF27" s="23">
        <v>0.21233299999999999</v>
      </c>
      <c r="AG27" s="23">
        <v>3.87114</v>
      </c>
      <c r="AH27" s="23">
        <v>0.16090699999999999</v>
      </c>
      <c r="AI27" s="25">
        <v>37</v>
      </c>
      <c r="AJ27" s="26">
        <v>3</v>
      </c>
      <c r="AK27" s="26">
        <v>6</v>
      </c>
      <c r="AL27" s="27">
        <v>16</v>
      </c>
      <c r="AM27" s="27">
        <v>13</v>
      </c>
      <c r="AN27" s="27">
        <f t="shared" si="8"/>
        <v>208</v>
      </c>
      <c r="AO27" s="63">
        <f>(AA27/3.64)*100</f>
        <v>114.06004709576139</v>
      </c>
      <c r="AP27" s="63">
        <f>(AE27/1.17)*100</f>
        <v>93.702484286141868</v>
      </c>
      <c r="AQ27" s="63">
        <f>(Y27/2.97)*100</f>
        <v>114.25307055127105</v>
      </c>
      <c r="AR27" s="63">
        <f>(AG27/3.71)*100</f>
        <v>104.34339622641508</v>
      </c>
      <c r="AS27" s="63">
        <f>(AI27/33.6)*100</f>
        <v>110.11904761904761</v>
      </c>
      <c r="AT27" s="63">
        <f t="shared" si="9"/>
        <v>107.68970910339878</v>
      </c>
      <c r="AU27" s="11" t="s">
        <v>194</v>
      </c>
      <c r="AW27" s="30"/>
      <c r="AX27" s="30"/>
      <c r="AY27" s="29"/>
      <c r="AZ27" s="30"/>
      <c r="BA27" s="30"/>
      <c r="BC27" s="30"/>
      <c r="BD27" s="30"/>
      <c r="BE27" s="30"/>
      <c r="BF27" s="30"/>
      <c r="BG27" s="30"/>
      <c r="BH27" s="29"/>
      <c r="BI27" s="30"/>
      <c r="BJ27" s="30"/>
      <c r="BK27" s="30"/>
      <c r="BL27" s="29"/>
      <c r="BM27" s="30"/>
      <c r="BN27" s="29"/>
      <c r="BO27" s="30"/>
      <c r="BP27" s="30"/>
      <c r="BQ27" s="30"/>
      <c r="BR27" s="30"/>
      <c r="BS27" s="31"/>
      <c r="BT27" s="30"/>
      <c r="BU27" s="30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</row>
    <row r="28" spans="1:251" x14ac:dyDescent="0.2">
      <c r="A28" s="81">
        <v>63</v>
      </c>
      <c r="B28" s="11" t="s">
        <v>46</v>
      </c>
      <c r="C28" s="11" t="s">
        <v>173</v>
      </c>
      <c r="D28" s="32" t="s">
        <v>61</v>
      </c>
      <c r="E28" s="12" t="s">
        <v>130</v>
      </c>
      <c r="F28" s="11" t="s">
        <v>50</v>
      </c>
      <c r="G28" s="13">
        <v>42814</v>
      </c>
      <c r="I28" s="13">
        <v>43041</v>
      </c>
      <c r="J28" s="14">
        <v>43152</v>
      </c>
      <c r="K28" s="15">
        <v>112</v>
      </c>
      <c r="L28" s="16">
        <f t="shared" si="0"/>
        <v>338</v>
      </c>
      <c r="M28" s="16">
        <v>576</v>
      </c>
      <c r="N28" s="16">
        <v>620</v>
      </c>
      <c r="O28" s="16">
        <v>612</v>
      </c>
      <c r="P28" s="17">
        <f t="shared" si="10"/>
        <v>616</v>
      </c>
      <c r="U28" s="18">
        <v>1000</v>
      </c>
      <c r="V28" s="17">
        <v>1020</v>
      </c>
      <c r="W28" s="19">
        <v>1015</v>
      </c>
      <c r="X28" s="17">
        <f t="shared" si="2"/>
        <v>1017.5</v>
      </c>
      <c r="Y28" s="20">
        <f t="shared" si="3"/>
        <v>3.0103550295857988</v>
      </c>
      <c r="Z28" s="17">
        <f t="shared" si="4"/>
        <v>401.5</v>
      </c>
      <c r="AA28" s="20">
        <f t="shared" si="5"/>
        <v>3.5848214285714284</v>
      </c>
      <c r="AB28" s="21">
        <v>47</v>
      </c>
      <c r="AC28" s="22">
        <f t="shared" si="6"/>
        <v>4.3653230800000005</v>
      </c>
      <c r="AD28" s="23">
        <v>11.0939</v>
      </c>
      <c r="AE28" s="24">
        <f t="shared" si="7"/>
        <v>1.1093900000000001</v>
      </c>
      <c r="AF28" s="23">
        <v>0.28356399999999998</v>
      </c>
      <c r="AG28" s="23">
        <v>4.1207099999999999</v>
      </c>
      <c r="AH28" s="23">
        <v>0.35670299999999999</v>
      </c>
      <c r="AI28" s="25">
        <v>35.5</v>
      </c>
      <c r="AJ28" s="26">
        <v>2</v>
      </c>
      <c r="AK28" s="26">
        <v>6</v>
      </c>
      <c r="AL28" s="27">
        <v>15</v>
      </c>
      <c r="AM28" s="27">
        <v>10.5</v>
      </c>
      <c r="AN28" s="27">
        <f t="shared" si="8"/>
        <v>157.5</v>
      </c>
      <c r="AO28" s="63">
        <f>(AA28/3.25)*100</f>
        <v>110.30219780219778</v>
      </c>
      <c r="AP28" s="63">
        <f>(AE28/1.16)*100</f>
        <v>95.637068965517258</v>
      </c>
      <c r="AQ28" s="63">
        <f>(Y28/2.79)*100</f>
        <v>107.89802973425802</v>
      </c>
      <c r="AR28" s="63">
        <f>(AG28/3.56)*100</f>
        <v>115.7502808988764</v>
      </c>
      <c r="AS28" s="63">
        <f>(AI28/33.4)*100</f>
        <v>106.2874251497006</v>
      </c>
      <c r="AT28" s="63">
        <f t="shared" si="9"/>
        <v>107.57647777535972</v>
      </c>
      <c r="AU28" s="30" t="s">
        <v>194</v>
      </c>
      <c r="AV28" s="30"/>
    </row>
    <row r="29" spans="1:251" x14ac:dyDescent="0.2">
      <c r="A29" s="82">
        <v>42</v>
      </c>
      <c r="B29" s="11" t="s">
        <v>46</v>
      </c>
      <c r="C29" s="11" t="s">
        <v>173</v>
      </c>
      <c r="D29" s="11" t="s">
        <v>60</v>
      </c>
      <c r="E29" s="33" t="s">
        <v>105</v>
      </c>
      <c r="F29" s="11" t="s">
        <v>51</v>
      </c>
      <c r="G29" s="13">
        <v>42764</v>
      </c>
      <c r="I29" s="13">
        <v>43041</v>
      </c>
      <c r="J29" s="14">
        <v>43152</v>
      </c>
      <c r="K29" s="15">
        <v>107</v>
      </c>
      <c r="L29" s="16">
        <f t="shared" si="0"/>
        <v>388</v>
      </c>
      <c r="M29" s="16">
        <v>696</v>
      </c>
      <c r="N29" s="16">
        <v>720</v>
      </c>
      <c r="O29" s="16">
        <v>722</v>
      </c>
      <c r="P29" s="17">
        <f t="shared" si="10"/>
        <v>721</v>
      </c>
      <c r="U29" s="18">
        <v>1095</v>
      </c>
      <c r="V29" s="17">
        <v>1110</v>
      </c>
      <c r="W29" s="17">
        <v>1115</v>
      </c>
      <c r="X29" s="17">
        <f t="shared" si="2"/>
        <v>1112.5</v>
      </c>
      <c r="Y29" s="20">
        <f t="shared" si="3"/>
        <v>2.8672680412371134</v>
      </c>
      <c r="Z29" s="17">
        <f t="shared" si="4"/>
        <v>391.5</v>
      </c>
      <c r="AA29" s="20">
        <f t="shared" si="5"/>
        <v>3.4955357142857144</v>
      </c>
      <c r="AB29" s="21">
        <v>53</v>
      </c>
      <c r="AC29" s="22">
        <f t="shared" si="6"/>
        <v>6.7101292800000012</v>
      </c>
      <c r="AD29" s="23">
        <v>13.110200000000001</v>
      </c>
      <c r="AE29" s="24">
        <f t="shared" si="7"/>
        <v>1.1972785388127853</v>
      </c>
      <c r="AF29" s="23">
        <v>0.340005</v>
      </c>
      <c r="AG29" s="23">
        <v>4.7968400000000004</v>
      </c>
      <c r="AH29" s="23">
        <v>0.336982</v>
      </c>
      <c r="AI29" s="25">
        <v>36</v>
      </c>
      <c r="AJ29" s="26">
        <v>3</v>
      </c>
      <c r="AK29" s="26">
        <v>7</v>
      </c>
      <c r="AL29" s="27">
        <v>14.5</v>
      </c>
      <c r="AM29" s="27">
        <v>12</v>
      </c>
      <c r="AN29" s="27">
        <f t="shared" si="8"/>
        <v>174</v>
      </c>
      <c r="AO29" s="63">
        <f>(AA29/3.62)*100</f>
        <v>96.561760063141278</v>
      </c>
      <c r="AP29" s="63">
        <f>(AE29/1.1)*100</f>
        <v>108.84350352843501</v>
      </c>
      <c r="AQ29" s="63">
        <f>(Y29/3.03)*100</f>
        <v>94.629308291653913</v>
      </c>
      <c r="AR29" s="63">
        <f>(AG29/3.56)*100</f>
        <v>134.7426966292135</v>
      </c>
      <c r="AS29" s="63">
        <f>(AI29/35.6)*100</f>
        <v>101.12359550561798</v>
      </c>
      <c r="AT29" s="63">
        <f t="shared" si="9"/>
        <v>106.72398925936469</v>
      </c>
      <c r="AU29" s="11" t="s">
        <v>194</v>
      </c>
    </row>
    <row r="30" spans="1:251" x14ac:dyDescent="0.2">
      <c r="A30" s="82">
        <v>45</v>
      </c>
      <c r="B30" s="11" t="s">
        <v>46</v>
      </c>
      <c r="C30" s="11" t="s">
        <v>173</v>
      </c>
      <c r="D30" s="11" t="s">
        <v>65</v>
      </c>
      <c r="E30" s="33" t="s">
        <v>109</v>
      </c>
      <c r="F30" s="11" t="s">
        <v>108</v>
      </c>
      <c r="G30" s="13">
        <v>42773</v>
      </c>
      <c r="I30" s="13">
        <v>43041</v>
      </c>
      <c r="J30" s="14">
        <v>43152</v>
      </c>
      <c r="K30" s="15">
        <v>108</v>
      </c>
      <c r="L30" s="16">
        <f t="shared" si="0"/>
        <v>379</v>
      </c>
      <c r="M30" s="16">
        <v>520</v>
      </c>
      <c r="N30" s="16">
        <v>586</v>
      </c>
      <c r="O30" s="16">
        <v>594</v>
      </c>
      <c r="P30" s="17">
        <f t="shared" si="10"/>
        <v>590</v>
      </c>
      <c r="U30" s="18">
        <v>994</v>
      </c>
      <c r="V30" s="17">
        <v>1005</v>
      </c>
      <c r="W30" s="17">
        <v>1005</v>
      </c>
      <c r="X30" s="17">
        <f t="shared" si="2"/>
        <v>1005</v>
      </c>
      <c r="Y30" s="20">
        <f t="shared" si="3"/>
        <v>2.6517150395778364</v>
      </c>
      <c r="Z30" s="17">
        <f t="shared" si="4"/>
        <v>415</v>
      </c>
      <c r="AA30" s="20">
        <f t="shared" si="5"/>
        <v>3.7053571428571428</v>
      </c>
      <c r="AB30" s="21">
        <v>48</v>
      </c>
      <c r="AC30" s="22">
        <f t="shared" si="6"/>
        <v>4.3176030700000014</v>
      </c>
      <c r="AD30" s="23">
        <v>11.549200000000001</v>
      </c>
      <c r="AE30" s="24">
        <f t="shared" si="7"/>
        <v>1.1618913480885311</v>
      </c>
      <c r="AF30" s="23">
        <v>0.225634</v>
      </c>
      <c r="AG30" s="23">
        <v>4.7394499999999997</v>
      </c>
      <c r="AH30" s="23">
        <v>0.28683500000000001</v>
      </c>
      <c r="AI30" s="25">
        <v>33.5</v>
      </c>
      <c r="AJ30" s="26">
        <v>1</v>
      </c>
      <c r="AK30" s="26">
        <v>6</v>
      </c>
      <c r="AL30" s="27">
        <v>13.5</v>
      </c>
      <c r="AM30" s="27">
        <v>10.5</v>
      </c>
      <c r="AN30" s="27">
        <f t="shared" si="8"/>
        <v>141.75</v>
      </c>
      <c r="AO30" s="63">
        <f>(AA30/3.49)*100</f>
        <v>106.17069177241096</v>
      </c>
      <c r="AP30" s="63">
        <f>(AE30/1.14)*100</f>
        <v>101.92029369197641</v>
      </c>
      <c r="AQ30" s="63">
        <f>(Y30/2.91)*100</f>
        <v>91.124228164186817</v>
      </c>
      <c r="AR30" s="63">
        <f>(AG30/3.63)*100</f>
        <v>130.56336088154271</v>
      </c>
      <c r="AS30" s="63">
        <f>(AI30/34.1)*100</f>
        <v>98.240469208211138</v>
      </c>
      <c r="AT30" s="63">
        <f t="shared" si="9"/>
        <v>106.39683100008558</v>
      </c>
      <c r="AU30" s="11" t="s">
        <v>194</v>
      </c>
    </row>
    <row r="31" spans="1:251" x14ac:dyDescent="0.2">
      <c r="A31" s="82">
        <v>80</v>
      </c>
      <c r="B31" s="11" t="s">
        <v>46</v>
      </c>
      <c r="C31" s="11" t="s">
        <v>173</v>
      </c>
      <c r="D31" s="11" t="s">
        <v>152</v>
      </c>
      <c r="E31" s="12" t="s">
        <v>153</v>
      </c>
      <c r="F31" s="11" t="s">
        <v>54</v>
      </c>
      <c r="G31" s="13">
        <v>42812</v>
      </c>
      <c r="I31" s="13">
        <v>43041</v>
      </c>
      <c r="J31" s="14">
        <v>43152</v>
      </c>
      <c r="K31" s="15">
        <v>118</v>
      </c>
      <c r="L31" s="16">
        <f t="shared" si="0"/>
        <v>340</v>
      </c>
      <c r="M31" s="16">
        <v>534</v>
      </c>
      <c r="N31" s="16">
        <v>568</v>
      </c>
      <c r="O31" s="16">
        <v>574</v>
      </c>
      <c r="P31" s="17">
        <f t="shared" si="10"/>
        <v>571</v>
      </c>
      <c r="Q31" s="15"/>
      <c r="R31" s="15"/>
      <c r="S31" s="15"/>
      <c r="T31" s="15"/>
      <c r="U31" s="18">
        <v>916</v>
      </c>
      <c r="V31" s="15">
        <v>930</v>
      </c>
      <c r="W31" s="15">
        <v>928</v>
      </c>
      <c r="X31" s="17">
        <f t="shared" si="2"/>
        <v>929</v>
      </c>
      <c r="Y31" s="20">
        <f t="shared" si="3"/>
        <v>2.7323529411764707</v>
      </c>
      <c r="Z31" s="17">
        <f t="shared" si="4"/>
        <v>358</v>
      </c>
      <c r="AA31" s="20">
        <f t="shared" si="5"/>
        <v>3.1964285714285716</v>
      </c>
      <c r="AB31" s="22">
        <v>53</v>
      </c>
      <c r="AC31" s="22">
        <f t="shared" si="6"/>
        <v>7.3320000000000016</v>
      </c>
      <c r="AD31" s="23">
        <v>11.028700000000001</v>
      </c>
      <c r="AE31" s="24">
        <f t="shared" si="7"/>
        <v>1.2040065502183406</v>
      </c>
      <c r="AF31" s="23">
        <v>0.238264</v>
      </c>
      <c r="AG31" s="23">
        <v>3.8841800000000002</v>
      </c>
      <c r="AH31" s="23">
        <v>0.28404600000000002</v>
      </c>
      <c r="AI31" s="25">
        <v>32.5</v>
      </c>
      <c r="AJ31" s="16">
        <v>2</v>
      </c>
      <c r="AK31" s="16">
        <v>6</v>
      </c>
      <c r="AL31" s="25">
        <v>13</v>
      </c>
      <c r="AM31" s="25">
        <v>10.5</v>
      </c>
      <c r="AN31" s="27">
        <f t="shared" si="8"/>
        <v>136.5</v>
      </c>
      <c r="AO31" s="63">
        <f>(AA31/3.09)*100</f>
        <v>103.44429033749422</v>
      </c>
      <c r="AP31" s="63">
        <f>(AE31/1.13)*100</f>
        <v>106.54925223171156</v>
      </c>
      <c r="AQ31" s="63">
        <f>(Y31/2.49)*100</f>
        <v>109.73304984644459</v>
      </c>
      <c r="AR31" s="63">
        <f>(AG31/3.93)*100</f>
        <v>98.834096692111956</v>
      </c>
      <c r="AS31" s="63">
        <f>(AI31/30.83)*100</f>
        <v>105.4168018164126</v>
      </c>
      <c r="AT31" s="63">
        <f t="shared" si="9"/>
        <v>104.59824703694315</v>
      </c>
      <c r="AU31" s="11" t="s">
        <v>195</v>
      </c>
      <c r="AW31" s="30"/>
      <c r="AX31" s="30"/>
      <c r="AY31" s="29"/>
      <c r="AZ31" s="30"/>
      <c r="BA31" s="30"/>
      <c r="BC31" s="30"/>
      <c r="BD31" s="30"/>
      <c r="BE31" s="30"/>
      <c r="BF31" s="30"/>
      <c r="BG31" s="30"/>
      <c r="BH31" s="29"/>
      <c r="BI31" s="30"/>
      <c r="BJ31" s="30"/>
      <c r="BK31" s="30"/>
      <c r="BL31" s="29"/>
      <c r="BM31" s="30"/>
      <c r="BN31" s="29"/>
      <c r="BO31" s="30"/>
      <c r="BP31" s="30"/>
      <c r="BQ31" s="30"/>
      <c r="BR31" s="30"/>
      <c r="BS31" s="31"/>
      <c r="BT31" s="30"/>
      <c r="BU31" s="30"/>
    </row>
    <row r="32" spans="1:251" s="32" customFormat="1" x14ac:dyDescent="0.2">
      <c r="A32" s="81">
        <v>68</v>
      </c>
      <c r="B32" s="11" t="s">
        <v>46</v>
      </c>
      <c r="C32" s="11" t="s">
        <v>173</v>
      </c>
      <c r="D32" s="32" t="s">
        <v>66</v>
      </c>
      <c r="E32" s="12" t="s">
        <v>136</v>
      </c>
      <c r="F32" s="11" t="s">
        <v>51</v>
      </c>
      <c r="G32" s="13">
        <v>42745</v>
      </c>
      <c r="H32" s="13"/>
      <c r="I32" s="13">
        <v>43041</v>
      </c>
      <c r="J32" s="14">
        <v>43152</v>
      </c>
      <c r="K32" s="15">
        <v>114</v>
      </c>
      <c r="L32" s="16">
        <f t="shared" si="0"/>
        <v>407</v>
      </c>
      <c r="M32" s="16">
        <v>776</v>
      </c>
      <c r="N32" s="16">
        <v>818</v>
      </c>
      <c r="O32" s="16">
        <v>830</v>
      </c>
      <c r="P32" s="17">
        <f t="shared" si="10"/>
        <v>824</v>
      </c>
      <c r="Q32" s="17"/>
      <c r="R32" s="17"/>
      <c r="S32" s="17"/>
      <c r="T32" s="17"/>
      <c r="U32" s="18">
        <v>1280</v>
      </c>
      <c r="V32" s="17">
        <v>1285</v>
      </c>
      <c r="W32" s="17">
        <v>1285</v>
      </c>
      <c r="X32" s="17">
        <f t="shared" si="2"/>
        <v>1285</v>
      </c>
      <c r="Y32" s="20">
        <f t="shared" si="3"/>
        <v>3.1572481572481572</v>
      </c>
      <c r="Z32" s="17">
        <f t="shared" si="4"/>
        <v>461</v>
      </c>
      <c r="AA32" s="20">
        <f t="shared" si="5"/>
        <v>4.1160714285714288</v>
      </c>
      <c r="AB32" s="21">
        <v>55</v>
      </c>
      <c r="AC32" s="22">
        <f t="shared" si="6"/>
        <v>7.4915450300000002</v>
      </c>
      <c r="AD32" s="23">
        <v>13.6623</v>
      </c>
      <c r="AE32" s="24">
        <f t="shared" si="7"/>
        <v>1.0673671875000001</v>
      </c>
      <c r="AF32" s="23">
        <v>0.247722</v>
      </c>
      <c r="AG32" s="23">
        <v>3.2360000000000002</v>
      </c>
      <c r="AH32" s="23">
        <v>0.33619399999999999</v>
      </c>
      <c r="AI32" s="25">
        <v>42</v>
      </c>
      <c r="AJ32" s="26">
        <v>4</v>
      </c>
      <c r="AK32" s="26">
        <v>8</v>
      </c>
      <c r="AL32" s="27">
        <v>15.5</v>
      </c>
      <c r="AM32" s="27">
        <v>10</v>
      </c>
      <c r="AN32" s="27">
        <f t="shared" si="8"/>
        <v>155</v>
      </c>
      <c r="AO32" s="63">
        <f>(AA32/3.62)*100</f>
        <v>113.70363062352014</v>
      </c>
      <c r="AP32" s="63">
        <f>(AE32/1.1)*100</f>
        <v>97.033380681818187</v>
      </c>
      <c r="AQ32" s="63">
        <f>(Y32/3.03)*100</f>
        <v>104.19960915010419</v>
      </c>
      <c r="AR32" s="63">
        <f>(AG32/3.56)*100</f>
        <v>90.898876404494388</v>
      </c>
      <c r="AS32" s="63">
        <f>(AI32/35.6)*100</f>
        <v>117.97752808988764</v>
      </c>
      <c r="AT32" s="63">
        <f t="shared" si="9"/>
        <v>104.33521524332816</v>
      </c>
      <c r="AU32" s="11" t="s">
        <v>194</v>
      </c>
      <c r="AV32" s="11"/>
      <c r="AW32" s="30"/>
      <c r="AX32" s="30"/>
      <c r="AY32" s="29"/>
      <c r="AZ32" s="30"/>
      <c r="BA32" s="30"/>
      <c r="BB32" s="29"/>
      <c r="BC32" s="30"/>
      <c r="BD32" s="30"/>
      <c r="BE32" s="30"/>
      <c r="BF32" s="30"/>
      <c r="BG32" s="30"/>
      <c r="BH32" s="29"/>
      <c r="BI32" s="30"/>
      <c r="BJ32" s="30"/>
      <c r="BK32" s="30"/>
      <c r="BL32" s="29"/>
      <c r="BM32" s="30"/>
      <c r="BN32" s="29"/>
      <c r="BO32" s="30"/>
      <c r="BP32" s="30"/>
      <c r="BQ32" s="30"/>
      <c r="BR32" s="30"/>
      <c r="BS32" s="31"/>
      <c r="BT32" s="30"/>
      <c r="BU32" s="30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</row>
    <row r="33" spans="1:251" s="49" customFormat="1" ht="15.75" x14ac:dyDescent="0.25">
      <c r="A33" s="82">
        <v>36</v>
      </c>
      <c r="B33" s="11" t="s">
        <v>46</v>
      </c>
      <c r="C33" s="11" t="s">
        <v>173</v>
      </c>
      <c r="D33" s="32" t="s">
        <v>103</v>
      </c>
      <c r="E33" s="12" t="s">
        <v>99</v>
      </c>
      <c r="F33" s="11" t="s">
        <v>59</v>
      </c>
      <c r="G33" s="13">
        <v>42825</v>
      </c>
      <c r="H33" s="13"/>
      <c r="I33" s="13">
        <v>43041</v>
      </c>
      <c r="J33" s="14">
        <v>43152</v>
      </c>
      <c r="K33" s="37">
        <v>106</v>
      </c>
      <c r="L33" s="16">
        <f t="shared" si="0"/>
        <v>327</v>
      </c>
      <c r="M33" s="16">
        <v>542</v>
      </c>
      <c r="N33" s="16">
        <v>538</v>
      </c>
      <c r="O33" s="16">
        <v>564</v>
      </c>
      <c r="P33" s="17">
        <f t="shared" si="10"/>
        <v>551</v>
      </c>
      <c r="Q33" s="17"/>
      <c r="R33" s="17"/>
      <c r="S33" s="17"/>
      <c r="T33" s="17"/>
      <c r="U33" s="18">
        <v>962</v>
      </c>
      <c r="V33" s="17">
        <v>984</v>
      </c>
      <c r="W33" s="17">
        <v>984</v>
      </c>
      <c r="X33" s="17">
        <f t="shared" si="2"/>
        <v>984</v>
      </c>
      <c r="Y33" s="20">
        <f t="shared" si="3"/>
        <v>3.0091743119266057</v>
      </c>
      <c r="Z33" s="17">
        <f t="shared" si="4"/>
        <v>433</v>
      </c>
      <c r="AA33" s="20">
        <f t="shared" si="5"/>
        <v>3.8660714285714284</v>
      </c>
      <c r="AB33" s="21">
        <v>51</v>
      </c>
      <c r="AC33" s="22">
        <f t="shared" si="6"/>
        <v>6.5184194299999998</v>
      </c>
      <c r="AD33" s="23">
        <v>10.7324</v>
      </c>
      <c r="AE33" s="24">
        <f t="shared" si="7"/>
        <v>1.1156340956340958</v>
      </c>
      <c r="AF33" s="23">
        <v>0.15925</v>
      </c>
      <c r="AG33" s="23">
        <v>4.3045299999999997</v>
      </c>
      <c r="AH33" s="23">
        <v>0.21357899999999999</v>
      </c>
      <c r="AI33" s="25">
        <v>31.5</v>
      </c>
      <c r="AJ33" s="26">
        <v>4</v>
      </c>
      <c r="AK33" s="26">
        <v>6</v>
      </c>
      <c r="AL33" s="27">
        <v>14.5</v>
      </c>
      <c r="AM33" s="27">
        <v>10.5</v>
      </c>
      <c r="AN33" s="27">
        <f t="shared" si="8"/>
        <v>152.25</v>
      </c>
      <c r="AO33" s="63">
        <f>(AA33/3.64)*100</f>
        <v>106.2107535321821</v>
      </c>
      <c r="AP33" s="63">
        <f>(AE33/1.17)*100</f>
        <v>95.353341507187679</v>
      </c>
      <c r="AQ33" s="63">
        <f>(Y33/2.97)*100</f>
        <v>101.3190004015692</v>
      </c>
      <c r="AR33" s="63">
        <f>(AG33/3.71)*100</f>
        <v>116.02506738544474</v>
      </c>
      <c r="AS33" s="63">
        <f>(AI33/33.6)*100</f>
        <v>93.75</v>
      </c>
      <c r="AT33" s="63">
        <f t="shared" si="9"/>
        <v>103.77770791849497</v>
      </c>
      <c r="AU33" s="11" t="s">
        <v>195</v>
      </c>
      <c r="AV33" s="11"/>
      <c r="AW33" s="73"/>
      <c r="AX33" s="73"/>
      <c r="AY33" s="72"/>
      <c r="AZ33" s="73"/>
      <c r="BA33" s="73"/>
      <c r="BB33" s="72"/>
      <c r="BC33" s="73"/>
      <c r="BD33" s="73"/>
      <c r="BE33" s="73"/>
      <c r="BF33" s="73"/>
      <c r="BG33" s="73"/>
      <c r="BH33" s="72"/>
      <c r="BI33" s="73"/>
      <c r="BJ33" s="73"/>
      <c r="BK33" s="73"/>
      <c r="BL33" s="72"/>
      <c r="BM33" s="73"/>
      <c r="BN33" s="72"/>
      <c r="BO33" s="73"/>
      <c r="BP33" s="73"/>
      <c r="BQ33" s="73"/>
      <c r="BR33" s="73"/>
      <c r="BS33" s="74"/>
      <c r="BT33" s="73"/>
      <c r="BU33" s="73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</row>
    <row r="34" spans="1:251" s="32" customFormat="1" x14ac:dyDescent="0.2">
      <c r="A34" s="81">
        <v>16</v>
      </c>
      <c r="B34" s="11" t="s">
        <v>46</v>
      </c>
      <c r="C34" s="11" t="s">
        <v>173</v>
      </c>
      <c r="D34" s="32" t="s">
        <v>49</v>
      </c>
      <c r="E34" s="12" t="s">
        <v>82</v>
      </c>
      <c r="F34" s="11" t="s">
        <v>50</v>
      </c>
      <c r="G34" s="13">
        <v>42851</v>
      </c>
      <c r="H34" s="13"/>
      <c r="I34" s="13">
        <v>43041</v>
      </c>
      <c r="J34" s="14">
        <v>43152</v>
      </c>
      <c r="K34" s="15">
        <v>101</v>
      </c>
      <c r="L34" s="16">
        <f t="shared" si="0"/>
        <v>301</v>
      </c>
      <c r="M34" s="16">
        <v>512</v>
      </c>
      <c r="N34" s="16">
        <v>528</v>
      </c>
      <c r="O34" s="16">
        <v>502</v>
      </c>
      <c r="P34" s="17">
        <f t="shared" si="10"/>
        <v>515</v>
      </c>
      <c r="Q34" s="17"/>
      <c r="R34" s="17"/>
      <c r="S34" s="17"/>
      <c r="T34" s="17"/>
      <c r="U34" s="18">
        <v>872</v>
      </c>
      <c r="V34" s="17">
        <v>876</v>
      </c>
      <c r="W34" s="17">
        <v>900</v>
      </c>
      <c r="X34" s="17">
        <f t="shared" si="2"/>
        <v>888</v>
      </c>
      <c r="Y34" s="20">
        <f t="shared" si="3"/>
        <v>2.9501661129568104</v>
      </c>
      <c r="Z34" s="17">
        <f t="shared" si="4"/>
        <v>373</v>
      </c>
      <c r="AA34" s="20">
        <f t="shared" si="5"/>
        <v>3.3303571428571428</v>
      </c>
      <c r="AB34" s="21">
        <v>49</v>
      </c>
      <c r="AC34" s="22">
        <f t="shared" si="6"/>
        <v>5.9119180700000005</v>
      </c>
      <c r="AD34" s="23">
        <v>11.2454</v>
      </c>
      <c r="AE34" s="24">
        <f t="shared" si="7"/>
        <v>1.2896100917431192</v>
      </c>
      <c r="AF34" s="23">
        <v>0.21876699999999999</v>
      </c>
      <c r="AG34" s="23">
        <v>3.5205799999999998</v>
      </c>
      <c r="AH34" s="23">
        <v>0.39536399999999999</v>
      </c>
      <c r="AI34" s="25">
        <v>32.5</v>
      </c>
      <c r="AJ34" s="26">
        <v>3</v>
      </c>
      <c r="AK34" s="26">
        <v>6</v>
      </c>
      <c r="AL34" s="27">
        <v>13</v>
      </c>
      <c r="AM34" s="27">
        <v>10</v>
      </c>
      <c r="AN34" s="27">
        <f t="shared" si="8"/>
        <v>130</v>
      </c>
      <c r="AO34" s="63">
        <f>(AA34/3.25)*100</f>
        <v>102.47252747252746</v>
      </c>
      <c r="AP34" s="63">
        <f>(AE34/1.16)*100</f>
        <v>111.17328377095856</v>
      </c>
      <c r="AQ34" s="63">
        <f>(Y34/2.79)*100</f>
        <v>105.74072089450934</v>
      </c>
      <c r="AR34" s="63">
        <f t="shared" ref="AR34:AR44" si="11">(AG34/3.56)*100</f>
        <v>98.892696629213475</v>
      </c>
      <c r="AS34" s="63">
        <f>(AI34/33.4)*100</f>
        <v>97.305389221556894</v>
      </c>
      <c r="AT34" s="63">
        <f t="shared" si="9"/>
        <v>103.63363742285021</v>
      </c>
      <c r="AU34" s="30" t="s">
        <v>195</v>
      </c>
      <c r="AV34" s="30"/>
      <c r="AW34" s="30"/>
      <c r="AX34" s="30"/>
      <c r="AY34" s="29"/>
      <c r="AZ34" s="30"/>
      <c r="BA34" s="30"/>
      <c r="BB34" s="29"/>
      <c r="BC34" s="30"/>
      <c r="BD34" s="30"/>
      <c r="BE34" s="30"/>
      <c r="BF34" s="30"/>
      <c r="BG34" s="30"/>
      <c r="BH34" s="29"/>
      <c r="BI34" s="30"/>
      <c r="BJ34" s="30"/>
      <c r="BK34" s="30"/>
      <c r="BL34" s="29"/>
      <c r="BM34" s="30"/>
      <c r="BN34" s="29"/>
      <c r="BO34" s="30"/>
      <c r="BP34" s="30"/>
      <c r="BQ34" s="30"/>
      <c r="BR34" s="30"/>
      <c r="BS34" s="31"/>
      <c r="BT34" s="30"/>
      <c r="BU34" s="30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</row>
    <row r="35" spans="1:251" s="32" customFormat="1" x14ac:dyDescent="0.2">
      <c r="A35" s="82">
        <v>48</v>
      </c>
      <c r="B35" s="11" t="s">
        <v>46</v>
      </c>
      <c r="C35" s="11" t="s">
        <v>173</v>
      </c>
      <c r="D35" s="11" t="s">
        <v>110</v>
      </c>
      <c r="E35" s="12" t="s">
        <v>113</v>
      </c>
      <c r="F35" s="11" t="s">
        <v>51</v>
      </c>
      <c r="G35" s="13">
        <v>42802</v>
      </c>
      <c r="H35" s="13"/>
      <c r="I35" s="13">
        <v>43041</v>
      </c>
      <c r="J35" s="14">
        <v>43152</v>
      </c>
      <c r="K35" s="15">
        <v>109</v>
      </c>
      <c r="L35" s="16">
        <f t="shared" si="0"/>
        <v>350</v>
      </c>
      <c r="M35" s="16">
        <v>804</v>
      </c>
      <c r="N35" s="16">
        <v>814</v>
      </c>
      <c r="O35" s="16">
        <v>832</v>
      </c>
      <c r="P35" s="17">
        <f t="shared" si="10"/>
        <v>823</v>
      </c>
      <c r="Q35" s="15"/>
      <c r="R35" s="15"/>
      <c r="S35" s="15"/>
      <c r="T35" s="15"/>
      <c r="U35" s="18">
        <v>1250</v>
      </c>
      <c r="V35" s="15">
        <v>1275</v>
      </c>
      <c r="W35" s="15">
        <v>1250</v>
      </c>
      <c r="X35" s="17">
        <f t="shared" si="2"/>
        <v>1262.5</v>
      </c>
      <c r="Y35" s="20">
        <f t="shared" si="3"/>
        <v>3.6071428571428572</v>
      </c>
      <c r="Z35" s="17">
        <f t="shared" si="4"/>
        <v>439.5</v>
      </c>
      <c r="AA35" s="20">
        <f t="shared" si="5"/>
        <v>3.9241071428571428</v>
      </c>
      <c r="AB35" s="22">
        <v>53</v>
      </c>
      <c r="AC35" s="22">
        <f t="shared" si="6"/>
        <v>7.1950450000000004</v>
      </c>
      <c r="AD35" s="23">
        <v>13.9664</v>
      </c>
      <c r="AE35" s="24">
        <f t="shared" si="7"/>
        <v>1.1173120000000001</v>
      </c>
      <c r="AF35" s="23">
        <v>0.28353200000000001</v>
      </c>
      <c r="AG35" s="23">
        <v>3.0896300000000001</v>
      </c>
      <c r="AH35" s="23">
        <v>0.40590100000000001</v>
      </c>
      <c r="AI35" s="25">
        <v>34</v>
      </c>
      <c r="AJ35" s="16">
        <v>3</v>
      </c>
      <c r="AK35" s="16">
        <v>6</v>
      </c>
      <c r="AL35" s="25">
        <v>15.5</v>
      </c>
      <c r="AM35" s="25">
        <v>10</v>
      </c>
      <c r="AN35" s="27">
        <f t="shared" si="8"/>
        <v>155</v>
      </c>
      <c r="AO35" s="63">
        <f>(AA35/3.62)*100</f>
        <v>108.40074980268351</v>
      </c>
      <c r="AP35" s="63">
        <f>(AE35/1.1)*100</f>
        <v>101.57381818181818</v>
      </c>
      <c r="AQ35" s="63">
        <f>(Y35/3.03)*100</f>
        <v>119.04761904761905</v>
      </c>
      <c r="AR35" s="63">
        <f t="shared" si="11"/>
        <v>86.787359550561803</v>
      </c>
      <c r="AS35" s="63">
        <f>(AI35/35.6)*100</f>
        <v>95.50561797752809</v>
      </c>
      <c r="AT35" s="63">
        <f t="shared" si="9"/>
        <v>103.55254609455767</v>
      </c>
      <c r="AU35" s="11" t="s">
        <v>195</v>
      </c>
      <c r="AV35" s="11"/>
      <c r="AW35" s="11"/>
      <c r="AX35" s="34"/>
      <c r="AY35" s="16"/>
      <c r="AZ35" s="34"/>
      <c r="BA35" s="34"/>
      <c r="BB35" s="16"/>
      <c r="BC35" s="16"/>
      <c r="BD35" s="11"/>
      <c r="BE35" s="11"/>
      <c r="BF35" s="11"/>
      <c r="BG35" s="34"/>
      <c r="BH35" s="16"/>
      <c r="BI35" s="34"/>
      <c r="BJ35" s="34"/>
      <c r="BK35" s="11"/>
      <c r="BL35" s="11"/>
      <c r="BM35" s="11"/>
      <c r="BN35" s="11"/>
      <c r="BO35" s="34"/>
      <c r="BP35" s="11"/>
      <c r="BQ35" s="11"/>
      <c r="BR35" s="11"/>
      <c r="BS35" s="25"/>
      <c r="BT35" s="34"/>
      <c r="BU35" s="34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</row>
    <row r="36" spans="1:251" x14ac:dyDescent="0.2">
      <c r="A36" s="82">
        <v>44</v>
      </c>
      <c r="B36" s="11" t="s">
        <v>46</v>
      </c>
      <c r="C36" s="11" t="s">
        <v>173</v>
      </c>
      <c r="D36" s="11" t="s">
        <v>60</v>
      </c>
      <c r="E36" s="33" t="s">
        <v>107</v>
      </c>
      <c r="F36" s="11" t="s">
        <v>51</v>
      </c>
      <c r="G36" s="13">
        <v>42755</v>
      </c>
      <c r="I36" s="13">
        <v>43041</v>
      </c>
      <c r="J36" s="14">
        <v>43152</v>
      </c>
      <c r="K36" s="15">
        <v>107</v>
      </c>
      <c r="L36" s="16">
        <f t="shared" si="0"/>
        <v>397</v>
      </c>
      <c r="M36" s="16">
        <v>720</v>
      </c>
      <c r="N36" s="16">
        <v>748</v>
      </c>
      <c r="O36" s="16">
        <v>760</v>
      </c>
      <c r="P36" s="17">
        <f t="shared" si="10"/>
        <v>754</v>
      </c>
      <c r="U36" s="18">
        <v>1160</v>
      </c>
      <c r="V36" s="17">
        <v>1145</v>
      </c>
      <c r="W36" s="17">
        <v>1160</v>
      </c>
      <c r="X36" s="17">
        <f t="shared" si="2"/>
        <v>1152.5</v>
      </c>
      <c r="Y36" s="20">
        <f t="shared" si="3"/>
        <v>2.9030226700251891</v>
      </c>
      <c r="Z36" s="17">
        <f t="shared" si="4"/>
        <v>398.5</v>
      </c>
      <c r="AA36" s="20">
        <f t="shared" si="5"/>
        <v>3.5580357142857144</v>
      </c>
      <c r="AB36" s="21">
        <v>54</v>
      </c>
      <c r="AC36" s="22">
        <f t="shared" si="6"/>
        <v>7.1045764299999998</v>
      </c>
      <c r="AD36" s="23">
        <v>12.7881</v>
      </c>
      <c r="AE36" s="24">
        <f t="shared" si="7"/>
        <v>1.1024224137931034</v>
      </c>
      <c r="AF36" s="23">
        <v>0.30080499999999999</v>
      </c>
      <c r="AG36" s="23">
        <v>4.1866599999999998</v>
      </c>
      <c r="AH36" s="23">
        <v>0.257164</v>
      </c>
      <c r="AI36" s="25">
        <v>40</v>
      </c>
      <c r="AJ36" s="26">
        <v>3</v>
      </c>
      <c r="AK36" s="26">
        <v>7</v>
      </c>
      <c r="AL36" s="27">
        <v>14</v>
      </c>
      <c r="AM36" s="27">
        <v>10</v>
      </c>
      <c r="AN36" s="27">
        <f t="shared" si="8"/>
        <v>140</v>
      </c>
      <c r="AO36" s="63">
        <f>(AA36/3.62)*100</f>
        <v>98.288279400157847</v>
      </c>
      <c r="AP36" s="63">
        <f>(AE36/1.1)*100</f>
        <v>100.22021943573667</v>
      </c>
      <c r="AQ36" s="63">
        <f>(Y36/3.03)*100</f>
        <v>95.80932904373563</v>
      </c>
      <c r="AR36" s="63">
        <f t="shared" si="11"/>
        <v>117.60280898876402</v>
      </c>
      <c r="AS36" s="63">
        <f>(AI36/35.6)*100</f>
        <v>112.35955056179773</v>
      </c>
      <c r="AT36" s="63">
        <f t="shared" si="9"/>
        <v>103.4489103698744</v>
      </c>
      <c r="AU36" s="11" t="s">
        <v>194</v>
      </c>
    </row>
    <row r="37" spans="1:251" x14ac:dyDescent="0.2">
      <c r="A37" s="81">
        <v>9</v>
      </c>
      <c r="B37" s="11" t="s">
        <v>46</v>
      </c>
      <c r="C37" s="11" t="s">
        <v>173</v>
      </c>
      <c r="D37" s="32" t="s">
        <v>62</v>
      </c>
      <c r="E37" s="33" t="s">
        <v>75</v>
      </c>
      <c r="F37" s="11" t="s">
        <v>51</v>
      </c>
      <c r="G37" s="13">
        <v>42796</v>
      </c>
      <c r="I37" s="13">
        <v>43041</v>
      </c>
      <c r="J37" s="14">
        <v>43152</v>
      </c>
      <c r="K37" s="15">
        <v>100</v>
      </c>
      <c r="L37" s="16">
        <f t="shared" si="0"/>
        <v>356</v>
      </c>
      <c r="M37" s="16">
        <v>552</v>
      </c>
      <c r="N37" s="11">
        <v>528</v>
      </c>
      <c r="O37" s="16">
        <v>536</v>
      </c>
      <c r="P37" s="17">
        <f t="shared" si="10"/>
        <v>532</v>
      </c>
      <c r="U37" s="18">
        <v>952</v>
      </c>
      <c r="V37" s="15">
        <v>934</v>
      </c>
      <c r="W37" s="19">
        <v>946</v>
      </c>
      <c r="X37" s="17">
        <f t="shared" si="2"/>
        <v>940</v>
      </c>
      <c r="Y37" s="20">
        <f t="shared" si="3"/>
        <v>2.6404494382022472</v>
      </c>
      <c r="Z37" s="17">
        <f t="shared" si="4"/>
        <v>408</v>
      </c>
      <c r="AA37" s="20">
        <f t="shared" si="5"/>
        <v>3.6428571428571428</v>
      </c>
      <c r="AB37" s="21">
        <v>50</v>
      </c>
      <c r="AC37" s="22">
        <f t="shared" si="6"/>
        <v>5.6156699200000011</v>
      </c>
      <c r="AD37" s="23">
        <v>10.8939</v>
      </c>
      <c r="AE37" s="24">
        <f t="shared" si="7"/>
        <v>1.1443172268907562</v>
      </c>
      <c r="AF37" s="23">
        <v>0.23002700000000001</v>
      </c>
      <c r="AG37" s="23">
        <v>4.48827</v>
      </c>
      <c r="AH37" s="23">
        <v>0.26541599999999999</v>
      </c>
      <c r="AI37" s="25">
        <v>34.5</v>
      </c>
      <c r="AJ37" s="26">
        <v>3</v>
      </c>
      <c r="AK37" s="26">
        <v>6</v>
      </c>
      <c r="AL37" s="27">
        <v>16</v>
      </c>
      <c r="AM37" s="27">
        <v>12</v>
      </c>
      <c r="AN37" s="27">
        <f t="shared" si="8"/>
        <v>192</v>
      </c>
      <c r="AO37" s="63">
        <f>(AA37/3.62)*100</f>
        <v>100.63141278610892</v>
      </c>
      <c r="AP37" s="63">
        <f>(AE37/1.1)*100</f>
        <v>104.02883880825055</v>
      </c>
      <c r="AQ37" s="63">
        <f>(Y37/3.03)*100</f>
        <v>87.143545815255692</v>
      </c>
      <c r="AR37" s="63">
        <f t="shared" si="11"/>
        <v>126.075</v>
      </c>
      <c r="AS37" s="63">
        <f>(AI37/35.6)*100</f>
        <v>96.910112359550567</v>
      </c>
      <c r="AT37" s="63">
        <f t="shared" si="9"/>
        <v>103.32991199648899</v>
      </c>
      <c r="AU37" s="30" t="s">
        <v>195</v>
      </c>
      <c r="AV37" s="30"/>
    </row>
    <row r="38" spans="1:251" x14ac:dyDescent="0.2">
      <c r="A38" s="81">
        <v>67</v>
      </c>
      <c r="B38" s="11" t="s">
        <v>46</v>
      </c>
      <c r="C38" s="11" t="s">
        <v>173</v>
      </c>
      <c r="D38" s="32" t="s">
        <v>66</v>
      </c>
      <c r="E38" s="12" t="s">
        <v>135</v>
      </c>
      <c r="F38" s="11" t="s">
        <v>51</v>
      </c>
      <c r="G38" s="13">
        <v>42738</v>
      </c>
      <c r="I38" s="13">
        <v>43041</v>
      </c>
      <c r="J38" s="14">
        <v>43152</v>
      </c>
      <c r="K38" s="15">
        <v>114</v>
      </c>
      <c r="L38" s="16">
        <f t="shared" si="0"/>
        <v>414</v>
      </c>
      <c r="M38" s="16">
        <v>818</v>
      </c>
      <c r="N38" s="16">
        <v>894</v>
      </c>
      <c r="O38" s="16">
        <v>906</v>
      </c>
      <c r="P38" s="17">
        <f t="shared" si="10"/>
        <v>900</v>
      </c>
      <c r="U38" s="18">
        <v>1310</v>
      </c>
      <c r="V38" s="17">
        <v>1325</v>
      </c>
      <c r="W38" s="17">
        <v>1325</v>
      </c>
      <c r="X38" s="17">
        <f t="shared" si="2"/>
        <v>1325</v>
      </c>
      <c r="Y38" s="20">
        <f t="shared" si="3"/>
        <v>3.2004830917874396</v>
      </c>
      <c r="Z38" s="17">
        <f t="shared" si="4"/>
        <v>425</v>
      </c>
      <c r="AA38" s="20">
        <f t="shared" si="5"/>
        <v>3.7946428571428572</v>
      </c>
      <c r="AB38" s="21">
        <v>52.5</v>
      </c>
      <c r="AC38" s="22">
        <f t="shared" si="6"/>
        <v>6.1599291200000019</v>
      </c>
      <c r="AD38" s="23">
        <v>14.4114</v>
      </c>
      <c r="AE38" s="24">
        <f t="shared" si="7"/>
        <v>1.1001068702290075</v>
      </c>
      <c r="AF38" s="23">
        <v>0.38123499999999999</v>
      </c>
      <c r="AG38" s="23">
        <v>3.4662600000000001</v>
      </c>
      <c r="AH38" s="23">
        <v>0.46062900000000001</v>
      </c>
      <c r="AI38" s="25">
        <v>37.5</v>
      </c>
      <c r="AJ38" s="26">
        <v>3</v>
      </c>
      <c r="AK38" s="26">
        <v>7</v>
      </c>
      <c r="AL38" s="27">
        <v>16</v>
      </c>
      <c r="AM38" s="27">
        <v>12</v>
      </c>
      <c r="AN38" s="27">
        <f t="shared" si="8"/>
        <v>192</v>
      </c>
      <c r="AO38" s="63">
        <f>(AA38/3.62)*100</f>
        <v>104.82438831886344</v>
      </c>
      <c r="AP38" s="63">
        <f>(AE38/1.1)*100</f>
        <v>100.00971547536433</v>
      </c>
      <c r="AQ38" s="63">
        <f>(Y38/3.03)*100</f>
        <v>105.62650467945348</v>
      </c>
      <c r="AR38" s="63">
        <f t="shared" si="11"/>
        <v>97.366853932584277</v>
      </c>
      <c r="AS38" s="63">
        <f>(AI38/35.6)*100</f>
        <v>105.33707865168537</v>
      </c>
      <c r="AT38" s="63">
        <f t="shared" si="9"/>
        <v>102.58163917830798</v>
      </c>
      <c r="AU38" s="11" t="s">
        <v>194</v>
      </c>
    </row>
    <row r="39" spans="1:251" x14ac:dyDescent="0.2">
      <c r="A39" s="81">
        <v>13</v>
      </c>
      <c r="B39" s="11" t="s">
        <v>46</v>
      </c>
      <c r="C39" s="11" t="s">
        <v>173</v>
      </c>
      <c r="D39" s="32" t="s">
        <v>49</v>
      </c>
      <c r="E39" s="12" t="s">
        <v>79</v>
      </c>
      <c r="F39" s="11" t="s">
        <v>50</v>
      </c>
      <c r="G39" s="13">
        <v>42791</v>
      </c>
      <c r="I39" s="13">
        <v>43041</v>
      </c>
      <c r="J39" s="14">
        <v>43152</v>
      </c>
      <c r="K39" s="15">
        <v>101</v>
      </c>
      <c r="L39" s="16">
        <f t="shared" si="0"/>
        <v>361</v>
      </c>
      <c r="M39" s="16">
        <v>564</v>
      </c>
      <c r="N39" s="11">
        <v>566</v>
      </c>
      <c r="O39" s="16">
        <v>556</v>
      </c>
      <c r="P39" s="17">
        <f t="shared" si="10"/>
        <v>561</v>
      </c>
      <c r="U39" s="18">
        <v>954</v>
      </c>
      <c r="V39" s="15">
        <v>954</v>
      </c>
      <c r="W39" s="17">
        <v>966</v>
      </c>
      <c r="X39" s="17">
        <f t="shared" si="2"/>
        <v>960</v>
      </c>
      <c r="Y39" s="20">
        <f t="shared" si="3"/>
        <v>2.6592797783933517</v>
      </c>
      <c r="Z39" s="17">
        <f t="shared" si="4"/>
        <v>399</v>
      </c>
      <c r="AA39" s="20">
        <f t="shared" si="5"/>
        <v>3.5625</v>
      </c>
      <c r="AB39" s="21">
        <v>49</v>
      </c>
      <c r="AC39" s="22">
        <f t="shared" si="6"/>
        <v>5.0494624699999999</v>
      </c>
      <c r="AD39" s="23">
        <v>11.241099999999999</v>
      </c>
      <c r="AE39" s="24">
        <f t="shared" si="7"/>
        <v>1.1783123689727462</v>
      </c>
      <c r="AF39" s="23">
        <v>0.22500600000000001</v>
      </c>
      <c r="AG39" s="23">
        <v>3.5702799999999999</v>
      </c>
      <c r="AH39" s="23">
        <v>0.31933099999999998</v>
      </c>
      <c r="AI39" s="25">
        <v>34</v>
      </c>
      <c r="AJ39" s="26">
        <v>4</v>
      </c>
      <c r="AK39" s="26">
        <v>7</v>
      </c>
      <c r="AL39" s="27">
        <v>14.5</v>
      </c>
      <c r="AM39" s="27">
        <v>10</v>
      </c>
      <c r="AN39" s="27">
        <f t="shared" si="8"/>
        <v>145</v>
      </c>
      <c r="AO39" s="63">
        <f>(AA39/3.25)*100</f>
        <v>109.61538461538463</v>
      </c>
      <c r="AP39" s="63">
        <f>(AE39/1.16)*100</f>
        <v>101.57865249765055</v>
      </c>
      <c r="AQ39" s="63">
        <f>(Y39/2.79)*100</f>
        <v>95.314687397611181</v>
      </c>
      <c r="AR39" s="63">
        <f t="shared" si="11"/>
        <v>100.28876404494382</v>
      </c>
      <c r="AS39" s="63">
        <f>(AI39/33.4)*100</f>
        <v>101.79640718562875</v>
      </c>
      <c r="AT39" s="63">
        <f t="shared" si="9"/>
        <v>102.50067689121938</v>
      </c>
      <c r="AU39" s="30" t="s">
        <v>195</v>
      </c>
      <c r="AV39" s="30"/>
    </row>
    <row r="40" spans="1:251" x14ac:dyDescent="0.2">
      <c r="A40" s="81">
        <v>69</v>
      </c>
      <c r="B40" s="11" t="s">
        <v>46</v>
      </c>
      <c r="C40" s="11" t="s">
        <v>173</v>
      </c>
      <c r="D40" s="32" t="s">
        <v>66</v>
      </c>
      <c r="E40" s="12" t="s">
        <v>137</v>
      </c>
      <c r="F40" s="11" t="s">
        <v>51</v>
      </c>
      <c r="G40" s="13">
        <v>42752</v>
      </c>
      <c r="I40" s="13">
        <v>43041</v>
      </c>
      <c r="J40" s="14">
        <v>43152</v>
      </c>
      <c r="K40" s="15">
        <v>114</v>
      </c>
      <c r="L40" s="16">
        <f t="shared" si="0"/>
        <v>400</v>
      </c>
      <c r="M40" s="16">
        <v>834</v>
      </c>
      <c r="N40" s="16">
        <v>904</v>
      </c>
      <c r="O40" s="16">
        <v>936</v>
      </c>
      <c r="P40" s="17">
        <f t="shared" si="10"/>
        <v>920</v>
      </c>
      <c r="U40" s="18">
        <v>1375</v>
      </c>
      <c r="V40" s="17">
        <v>1375</v>
      </c>
      <c r="W40" s="17">
        <v>1400</v>
      </c>
      <c r="X40" s="17">
        <f t="shared" si="2"/>
        <v>1387.5</v>
      </c>
      <c r="Y40" s="20">
        <f t="shared" si="3"/>
        <v>3.46875</v>
      </c>
      <c r="Z40" s="17">
        <f t="shared" si="4"/>
        <v>467.5</v>
      </c>
      <c r="AA40" s="20">
        <f t="shared" si="5"/>
        <v>4.1741071428571432</v>
      </c>
      <c r="AB40" s="21">
        <v>56</v>
      </c>
      <c r="AC40" s="22">
        <f t="shared" si="6"/>
        <v>8.072160000000002</v>
      </c>
      <c r="AD40" s="23">
        <v>14.2423</v>
      </c>
      <c r="AE40" s="24">
        <f t="shared" si="7"/>
        <v>1.0358036363636363</v>
      </c>
      <c r="AF40" s="23">
        <v>0.238261</v>
      </c>
      <c r="AG40" s="23">
        <v>2.8598300000000001</v>
      </c>
      <c r="AH40" s="23">
        <v>0.28404499999999999</v>
      </c>
      <c r="AI40" s="25">
        <v>35.5</v>
      </c>
      <c r="AJ40" s="26">
        <v>4</v>
      </c>
      <c r="AK40" s="26">
        <v>7</v>
      </c>
      <c r="AL40" s="27">
        <v>16</v>
      </c>
      <c r="AM40" s="27">
        <v>13</v>
      </c>
      <c r="AN40" s="27">
        <f t="shared" si="8"/>
        <v>208</v>
      </c>
      <c r="AO40" s="63">
        <f>(AA40/3.62)*100</f>
        <v>115.3068271507498</v>
      </c>
      <c r="AP40" s="63">
        <f>(AE40/1.1)*100</f>
        <v>94.163966942148747</v>
      </c>
      <c r="AQ40" s="63">
        <f>(Y40/3.03)*100</f>
        <v>114.48019801980197</v>
      </c>
      <c r="AR40" s="63">
        <f t="shared" si="11"/>
        <v>80.332303370786519</v>
      </c>
      <c r="AS40" s="63">
        <f>(AI40/35.6)*100</f>
        <v>99.719101123595493</v>
      </c>
      <c r="AT40" s="63">
        <f t="shared" si="9"/>
        <v>102.35925192413194</v>
      </c>
      <c r="AU40" s="11" t="s">
        <v>194</v>
      </c>
    </row>
    <row r="41" spans="1:251" x14ac:dyDescent="0.2">
      <c r="A41" s="82">
        <v>41</v>
      </c>
      <c r="B41" s="11" t="s">
        <v>46</v>
      </c>
      <c r="C41" s="11" t="s">
        <v>173</v>
      </c>
      <c r="D41" s="11" t="s">
        <v>60</v>
      </c>
      <c r="E41" s="12" t="s">
        <v>104</v>
      </c>
      <c r="F41" s="11" t="s">
        <v>51</v>
      </c>
      <c r="G41" s="13">
        <v>42749</v>
      </c>
      <c r="I41" s="13">
        <v>43041</v>
      </c>
      <c r="J41" s="14">
        <v>43152</v>
      </c>
      <c r="K41" s="15">
        <v>107</v>
      </c>
      <c r="L41" s="16">
        <f t="shared" si="0"/>
        <v>403</v>
      </c>
      <c r="M41" s="16">
        <v>736</v>
      </c>
      <c r="N41" s="16">
        <v>768</v>
      </c>
      <c r="O41" s="16">
        <v>766</v>
      </c>
      <c r="P41" s="17">
        <f t="shared" si="10"/>
        <v>767</v>
      </c>
      <c r="U41" s="18">
        <v>1185</v>
      </c>
      <c r="V41" s="17">
        <v>1195</v>
      </c>
      <c r="W41" s="17">
        <v>1185</v>
      </c>
      <c r="X41" s="17">
        <f t="shared" si="2"/>
        <v>1190</v>
      </c>
      <c r="Y41" s="20">
        <f t="shared" si="3"/>
        <v>2.9528535980148884</v>
      </c>
      <c r="Z41" s="17">
        <f t="shared" si="4"/>
        <v>423</v>
      </c>
      <c r="AA41" s="20">
        <f t="shared" si="5"/>
        <v>3.7767857142857144</v>
      </c>
      <c r="AB41" s="21">
        <v>53</v>
      </c>
      <c r="AC41" s="22">
        <f t="shared" si="6"/>
        <v>6.5341938300000013</v>
      </c>
      <c r="AD41" s="23">
        <v>13.104200000000001</v>
      </c>
      <c r="AE41" s="24">
        <f t="shared" si="7"/>
        <v>1.1058396624472575</v>
      </c>
      <c r="AF41" s="23">
        <v>0.26048500000000002</v>
      </c>
      <c r="AG41" s="23">
        <v>3.7088999999999999</v>
      </c>
      <c r="AH41" s="23">
        <v>0.36560500000000001</v>
      </c>
      <c r="AI41" s="25">
        <v>36.5</v>
      </c>
      <c r="AJ41" s="26">
        <v>3</v>
      </c>
      <c r="AK41" s="26">
        <v>6</v>
      </c>
      <c r="AL41" s="27">
        <v>16</v>
      </c>
      <c r="AM41" s="27">
        <v>12</v>
      </c>
      <c r="AN41" s="27">
        <f t="shared" si="8"/>
        <v>192</v>
      </c>
      <c r="AO41" s="63">
        <f>(AA41/3.62)*100</f>
        <v>104.33109707971586</v>
      </c>
      <c r="AP41" s="63">
        <f>(AE41/1.1)*100</f>
        <v>100.53087840429613</v>
      </c>
      <c r="AQ41" s="63">
        <f>(Y41/3.03)*100</f>
        <v>97.453914125903921</v>
      </c>
      <c r="AR41" s="63">
        <f t="shared" si="11"/>
        <v>104.18258426966291</v>
      </c>
      <c r="AS41" s="63">
        <f>(AI41/35.6)*100</f>
        <v>102.52808988764043</v>
      </c>
      <c r="AT41" s="63">
        <f t="shared" si="9"/>
        <v>101.98561347265139</v>
      </c>
      <c r="AU41" s="11" t="s">
        <v>194</v>
      </c>
    </row>
    <row r="42" spans="1:251" x14ac:dyDescent="0.2">
      <c r="A42" s="81">
        <v>62</v>
      </c>
      <c r="B42" s="11" t="s">
        <v>46</v>
      </c>
      <c r="C42" s="11" t="s">
        <v>173</v>
      </c>
      <c r="D42" s="32" t="s">
        <v>61</v>
      </c>
      <c r="E42" s="12" t="s">
        <v>129</v>
      </c>
      <c r="F42" s="11" t="s">
        <v>50</v>
      </c>
      <c r="G42" s="36">
        <v>42737</v>
      </c>
      <c r="I42" s="13">
        <v>43041</v>
      </c>
      <c r="J42" s="14">
        <v>43152</v>
      </c>
      <c r="K42" s="15">
        <v>112</v>
      </c>
      <c r="L42" s="16">
        <f t="shared" si="0"/>
        <v>415</v>
      </c>
      <c r="M42" s="16">
        <v>620</v>
      </c>
      <c r="N42" s="16">
        <v>702</v>
      </c>
      <c r="O42" s="16">
        <v>678</v>
      </c>
      <c r="P42" s="17">
        <f t="shared" si="10"/>
        <v>690</v>
      </c>
      <c r="U42" s="18">
        <v>1080</v>
      </c>
      <c r="V42" s="17">
        <v>1090</v>
      </c>
      <c r="W42" s="19">
        <v>1110</v>
      </c>
      <c r="X42" s="17">
        <f t="shared" si="2"/>
        <v>1100</v>
      </c>
      <c r="Y42" s="20">
        <f t="shared" si="3"/>
        <v>2.6506024096385543</v>
      </c>
      <c r="Z42" s="17">
        <f t="shared" si="4"/>
        <v>410</v>
      </c>
      <c r="AA42" s="20">
        <f t="shared" si="5"/>
        <v>3.6607142857142856</v>
      </c>
      <c r="AB42" s="21">
        <v>50.5</v>
      </c>
      <c r="AC42" s="22">
        <f t="shared" si="6"/>
        <v>5.1456012500000012</v>
      </c>
      <c r="AD42" s="23">
        <v>11.869400000000001</v>
      </c>
      <c r="AE42" s="24">
        <f t="shared" si="7"/>
        <v>1.0990185185185186</v>
      </c>
      <c r="AF42" s="23">
        <v>0.23404900000000001</v>
      </c>
      <c r="AG42" s="23">
        <v>3.18404</v>
      </c>
      <c r="AH42" s="23">
        <v>0.40956599999999999</v>
      </c>
      <c r="AI42" s="25">
        <v>37</v>
      </c>
      <c r="AJ42" s="26">
        <v>1</v>
      </c>
      <c r="AK42" s="26">
        <v>6</v>
      </c>
      <c r="AL42" s="27">
        <v>16</v>
      </c>
      <c r="AM42" s="27">
        <v>11</v>
      </c>
      <c r="AN42" s="27">
        <f t="shared" si="8"/>
        <v>176</v>
      </c>
      <c r="AO42" s="63">
        <f>(AA42/3.25)*100</f>
        <v>112.63736263736264</v>
      </c>
      <c r="AP42" s="63">
        <f>(AE42/1.16)*100</f>
        <v>94.742975734355056</v>
      </c>
      <c r="AQ42" s="63">
        <f>(Y42/2.79)*100</f>
        <v>95.00367059636396</v>
      </c>
      <c r="AR42" s="63">
        <f t="shared" si="11"/>
        <v>89.439325842696633</v>
      </c>
      <c r="AS42" s="63">
        <f>(AI42/33.4)*100</f>
        <v>110.77844311377245</v>
      </c>
      <c r="AT42" s="63">
        <f t="shared" si="9"/>
        <v>100.70624753726918</v>
      </c>
      <c r="AU42" s="30" t="s">
        <v>194</v>
      </c>
      <c r="AV42" s="30"/>
    </row>
    <row r="43" spans="1:251" s="32" customFormat="1" x14ac:dyDescent="0.2">
      <c r="A43" s="81">
        <v>65</v>
      </c>
      <c r="B43" s="11" t="s">
        <v>46</v>
      </c>
      <c r="C43" s="11" t="s">
        <v>173</v>
      </c>
      <c r="D43" s="32" t="s">
        <v>66</v>
      </c>
      <c r="E43" s="12" t="s">
        <v>133</v>
      </c>
      <c r="F43" s="11" t="s">
        <v>51</v>
      </c>
      <c r="G43" s="36">
        <v>42810</v>
      </c>
      <c r="H43" s="13"/>
      <c r="I43" s="13">
        <v>43041</v>
      </c>
      <c r="J43" s="14">
        <v>43152</v>
      </c>
      <c r="K43" s="15">
        <v>114</v>
      </c>
      <c r="L43" s="16">
        <f t="shared" si="0"/>
        <v>342</v>
      </c>
      <c r="M43" s="16">
        <v>610</v>
      </c>
      <c r="N43" s="16">
        <v>676</v>
      </c>
      <c r="O43" s="16">
        <v>686</v>
      </c>
      <c r="P43" s="17">
        <f t="shared" si="10"/>
        <v>681</v>
      </c>
      <c r="Q43" s="17"/>
      <c r="R43" s="17"/>
      <c r="S43" s="17"/>
      <c r="T43" s="17"/>
      <c r="U43" s="18">
        <v>1055</v>
      </c>
      <c r="V43" s="17">
        <v>1085</v>
      </c>
      <c r="W43" s="19">
        <v>1075</v>
      </c>
      <c r="X43" s="17">
        <f t="shared" si="2"/>
        <v>1080</v>
      </c>
      <c r="Y43" s="20">
        <f t="shared" si="3"/>
        <v>3.1578947368421053</v>
      </c>
      <c r="Z43" s="17">
        <f t="shared" si="4"/>
        <v>399</v>
      </c>
      <c r="AA43" s="20">
        <f t="shared" si="5"/>
        <v>3.5625</v>
      </c>
      <c r="AB43" s="21">
        <v>53</v>
      </c>
      <c r="AC43" s="22">
        <f t="shared" si="6"/>
        <v>7.3042974800000016</v>
      </c>
      <c r="AD43" s="23">
        <v>12.401899999999999</v>
      </c>
      <c r="AE43" s="24">
        <f t="shared" si="7"/>
        <v>1.1755355450236966</v>
      </c>
      <c r="AF43" s="23">
        <v>0.15925</v>
      </c>
      <c r="AG43" s="23">
        <v>3.2963499999999999</v>
      </c>
      <c r="AH43" s="23">
        <v>0.371583</v>
      </c>
      <c r="AI43" s="25">
        <v>35</v>
      </c>
      <c r="AJ43" s="26">
        <v>4</v>
      </c>
      <c r="AK43" s="26">
        <v>7</v>
      </c>
      <c r="AL43" s="27">
        <v>16</v>
      </c>
      <c r="AM43" s="27">
        <v>12</v>
      </c>
      <c r="AN43" s="27">
        <f t="shared" si="8"/>
        <v>192</v>
      </c>
      <c r="AO43" s="63">
        <f>(AA43/3.62)*100</f>
        <v>98.411602209944746</v>
      </c>
      <c r="AP43" s="63">
        <f>(AE43/1.1)*100</f>
        <v>106.86686772942696</v>
      </c>
      <c r="AQ43" s="63">
        <f>(Y43/3.03)*100</f>
        <v>104.22094841063054</v>
      </c>
      <c r="AR43" s="63">
        <f t="shared" si="11"/>
        <v>92.594101123595493</v>
      </c>
      <c r="AS43" s="63">
        <f>(AI43/35.6)*100</f>
        <v>98.31460674157303</v>
      </c>
      <c r="AT43" s="63">
        <f t="shared" si="9"/>
        <v>100.09132478987134</v>
      </c>
      <c r="AU43" s="30" t="s">
        <v>195</v>
      </c>
      <c r="AV43" s="30"/>
      <c r="AW43" s="11"/>
      <c r="AX43" s="34"/>
      <c r="AY43" s="16"/>
      <c r="AZ43" s="34"/>
      <c r="BA43" s="34"/>
      <c r="BB43" s="16"/>
      <c r="BC43" s="16"/>
      <c r="BD43" s="11"/>
      <c r="BE43" s="11"/>
      <c r="BF43" s="11"/>
      <c r="BG43" s="34"/>
      <c r="BH43" s="16"/>
      <c r="BI43" s="34"/>
      <c r="BJ43" s="34"/>
      <c r="BK43" s="11"/>
      <c r="BL43" s="11"/>
      <c r="BM43" s="11"/>
      <c r="BN43" s="11"/>
      <c r="BO43" s="34"/>
      <c r="BP43" s="11"/>
      <c r="BQ43" s="11"/>
      <c r="BR43" s="11"/>
      <c r="BS43" s="25"/>
      <c r="BT43" s="34"/>
      <c r="BU43" s="34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</row>
    <row r="44" spans="1:251" x14ac:dyDescent="0.2">
      <c r="A44" s="81">
        <v>60</v>
      </c>
      <c r="B44" s="11" t="s">
        <v>46</v>
      </c>
      <c r="C44" s="11" t="s">
        <v>173</v>
      </c>
      <c r="D44" s="32" t="s">
        <v>61</v>
      </c>
      <c r="E44" s="12" t="s">
        <v>127</v>
      </c>
      <c r="F44" s="11" t="s">
        <v>50</v>
      </c>
      <c r="G44" s="13">
        <v>42825</v>
      </c>
      <c r="I44" s="13">
        <v>43041</v>
      </c>
      <c r="J44" s="14">
        <v>43152</v>
      </c>
      <c r="K44" s="15">
        <v>112</v>
      </c>
      <c r="L44" s="16">
        <f t="shared" si="0"/>
        <v>327</v>
      </c>
      <c r="M44" s="16">
        <v>433</v>
      </c>
      <c r="N44" s="11">
        <v>481</v>
      </c>
      <c r="O44" s="16">
        <v>488</v>
      </c>
      <c r="P44" s="17">
        <f t="shared" si="10"/>
        <v>484.5</v>
      </c>
      <c r="U44" s="18">
        <v>844</v>
      </c>
      <c r="V44" s="15">
        <v>842</v>
      </c>
      <c r="W44" s="19">
        <v>842</v>
      </c>
      <c r="X44" s="17">
        <f t="shared" si="2"/>
        <v>842</v>
      </c>
      <c r="Y44" s="20">
        <f t="shared" si="3"/>
        <v>2.5749235474006116</v>
      </c>
      <c r="Z44" s="17">
        <f t="shared" si="4"/>
        <v>357.5</v>
      </c>
      <c r="AA44" s="20">
        <f t="shared" si="5"/>
        <v>3.1919642857142856</v>
      </c>
      <c r="AB44" s="21">
        <v>48</v>
      </c>
      <c r="AC44" s="22">
        <f t="shared" si="6"/>
        <v>5.02225403</v>
      </c>
      <c r="AD44" s="23">
        <v>8.9254899999999999</v>
      </c>
      <c r="AE44" s="24">
        <f t="shared" si="7"/>
        <v>1.0575225118483413</v>
      </c>
      <c r="AF44" s="23">
        <v>0.19967299999999999</v>
      </c>
      <c r="AG44" s="23">
        <v>4.1691000000000003</v>
      </c>
      <c r="AH44" s="23">
        <v>0.42529</v>
      </c>
      <c r="AI44" s="25">
        <v>35</v>
      </c>
      <c r="AJ44" s="26">
        <v>2</v>
      </c>
      <c r="AK44" s="26">
        <v>6</v>
      </c>
      <c r="AL44" s="27">
        <v>12</v>
      </c>
      <c r="AM44" s="27">
        <v>10</v>
      </c>
      <c r="AN44" s="27">
        <f t="shared" si="8"/>
        <v>120</v>
      </c>
      <c r="AO44" s="63">
        <f>(AA44/3.25)*100</f>
        <v>98.214285714285708</v>
      </c>
      <c r="AP44" s="63">
        <f>(AE44/1.16)*100</f>
        <v>91.165733780029427</v>
      </c>
      <c r="AQ44" s="63">
        <f>(Y44/2.79)*100</f>
        <v>92.291166573498614</v>
      </c>
      <c r="AR44" s="63">
        <f t="shared" si="11"/>
        <v>117.10955056179775</v>
      </c>
      <c r="AS44" s="63">
        <f>(AI44/33.4)*100</f>
        <v>104.79041916167664</v>
      </c>
      <c r="AT44" s="63">
        <f t="shared" si="9"/>
        <v>100.05661781351854</v>
      </c>
      <c r="AU44" s="30" t="s">
        <v>194</v>
      </c>
      <c r="AV44" s="30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</row>
    <row r="45" spans="1:251" x14ac:dyDescent="0.2">
      <c r="D45" s="32"/>
      <c r="J45" s="14"/>
      <c r="M45" s="16"/>
      <c r="N45" s="11"/>
      <c r="U45" s="18"/>
      <c r="V45" s="15"/>
      <c r="W45" s="19"/>
      <c r="AD45" s="23"/>
      <c r="AF45" s="23"/>
      <c r="AG45" s="23"/>
      <c r="AH45" s="23"/>
      <c r="AU45" s="30"/>
      <c r="AV45" s="30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</row>
    <row r="46" spans="1:251" ht="15.75" x14ac:dyDescent="0.25">
      <c r="D46" s="49" t="s">
        <v>192</v>
      </c>
      <c r="J46" s="14"/>
      <c r="M46" s="16"/>
      <c r="N46" s="11"/>
      <c r="U46" s="18"/>
      <c r="V46" s="15"/>
      <c r="W46" s="19"/>
      <c r="AD46" s="23"/>
      <c r="AF46" s="23"/>
      <c r="AG46" s="23"/>
      <c r="AH46" s="23"/>
      <c r="AU46" s="30"/>
      <c r="AV46" s="30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  <c r="IL46" s="32"/>
      <c r="IM46" s="32"/>
      <c r="IN46" s="32"/>
      <c r="IO46" s="32"/>
      <c r="IP46" s="32"/>
      <c r="IQ46" s="32"/>
    </row>
    <row r="47" spans="1:251" x14ac:dyDescent="0.2">
      <c r="D47" s="32"/>
      <c r="J47" s="14"/>
      <c r="M47" s="16"/>
      <c r="N47" s="11"/>
      <c r="U47" s="18"/>
      <c r="V47" s="15"/>
      <c r="W47" s="19"/>
      <c r="AD47" s="23"/>
      <c r="AF47" s="23"/>
      <c r="AG47" s="23"/>
      <c r="AH47" s="23"/>
      <c r="AU47" s="30"/>
      <c r="AV47" s="30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  <c r="IP47" s="32"/>
      <c r="IQ47" s="32"/>
    </row>
    <row r="48" spans="1:251" s="32" customFormat="1" x14ac:dyDescent="0.2">
      <c r="A48" s="81">
        <v>26</v>
      </c>
      <c r="B48" s="11" t="s">
        <v>52</v>
      </c>
      <c r="C48" s="11" t="s">
        <v>174</v>
      </c>
      <c r="D48" s="32" t="s">
        <v>103</v>
      </c>
      <c r="E48" s="12" t="s">
        <v>89</v>
      </c>
      <c r="F48" s="11" t="s">
        <v>59</v>
      </c>
      <c r="G48" s="13">
        <v>42673</v>
      </c>
      <c r="H48" s="13"/>
      <c r="I48" s="13">
        <v>43041</v>
      </c>
      <c r="J48" s="14">
        <v>43152</v>
      </c>
      <c r="K48" s="37">
        <v>106</v>
      </c>
      <c r="L48" s="16">
        <f t="shared" ref="L48:L79" si="12">J48-G48</f>
        <v>479</v>
      </c>
      <c r="M48" s="16">
        <v>892</v>
      </c>
      <c r="N48" s="16">
        <v>962</v>
      </c>
      <c r="O48" s="16">
        <v>992</v>
      </c>
      <c r="P48" s="17">
        <f t="shared" ref="P48:P79" si="13">AVERAGE(N48:O48)</f>
        <v>977</v>
      </c>
      <c r="Q48" s="17"/>
      <c r="R48" s="17"/>
      <c r="S48" s="17"/>
      <c r="T48" s="17"/>
      <c r="U48" s="18">
        <v>1355</v>
      </c>
      <c r="V48" s="17">
        <v>1365</v>
      </c>
      <c r="W48" s="17">
        <v>1325</v>
      </c>
      <c r="X48" s="17">
        <f t="shared" ref="X48:X79" si="14">(V48+W48)/2</f>
        <v>1345</v>
      </c>
      <c r="Y48" s="20">
        <f t="shared" ref="Y48:Y79" si="15">(X48/L48)</f>
        <v>2.8079331941544887</v>
      </c>
      <c r="Z48" s="17">
        <f t="shared" ref="Z48:Z79" si="16">(X48-P48)</f>
        <v>368</v>
      </c>
      <c r="AA48" s="20">
        <f t="shared" ref="AA48:AA79" si="17">(Z48/112)</f>
        <v>3.2857142857142856</v>
      </c>
      <c r="AB48" s="21">
        <v>53</v>
      </c>
      <c r="AC48" s="22">
        <f t="shared" ref="AC48:AC79" si="18">-11.548+0.4878*(AB48)-0.0289*(L48)+0.00001947*(L48*L48)+0.0000334*(AB48*L48)</f>
        <v>5.7774420700000011</v>
      </c>
      <c r="AD48" s="23">
        <v>15.7135</v>
      </c>
      <c r="AE48" s="24">
        <f t="shared" ref="AE48:AE79" si="19">AD48/U48*100</f>
        <v>1.1596678966789669</v>
      </c>
      <c r="AF48" s="23">
        <v>0.19906199999999999</v>
      </c>
      <c r="AG48" s="23">
        <v>3.5994799999999998</v>
      </c>
      <c r="AH48" s="23">
        <v>0.21357899999999999</v>
      </c>
      <c r="AI48" s="25">
        <v>44</v>
      </c>
      <c r="AJ48" s="26">
        <v>3</v>
      </c>
      <c r="AK48" s="26">
        <v>6</v>
      </c>
      <c r="AL48" s="27">
        <v>16.5</v>
      </c>
      <c r="AM48" s="27">
        <v>13</v>
      </c>
      <c r="AN48" s="27">
        <f t="shared" ref="AN48:AN79" si="20">(AL48*AM48)</f>
        <v>214.5</v>
      </c>
      <c r="AO48" s="63">
        <f>(AA48/3.6)*100</f>
        <v>91.269841269841265</v>
      </c>
      <c r="AP48" s="63">
        <f>(AE48/1.1)*100</f>
        <v>105.42435424354244</v>
      </c>
      <c r="AQ48" s="63">
        <f>(Y48/2.74)*100</f>
        <v>102.4793136552733</v>
      </c>
      <c r="AR48" s="63">
        <f>(AG48/3.56)*100</f>
        <v>101.10898876404492</v>
      </c>
      <c r="AS48" s="63">
        <f>(AI48/41.5)*100</f>
        <v>106.02409638554218</v>
      </c>
      <c r="AT48" s="63">
        <f t="shared" ref="AT48:AT79" si="21">(AO48*0.3)+(AP48*0.2)+(AQ48*0.2)+(AR48*0.2)+(AS48*0.1)</f>
        <v>99.78589335207873</v>
      </c>
      <c r="AU48" s="30"/>
      <c r="AV48" s="30"/>
      <c r="AW48" s="30"/>
      <c r="AX48" s="30"/>
      <c r="AY48" s="29"/>
      <c r="AZ48" s="30"/>
      <c r="BA48" s="30"/>
      <c r="BB48" s="29"/>
      <c r="BC48" s="30"/>
      <c r="BD48" s="30"/>
      <c r="BE48" s="30"/>
      <c r="BF48" s="30"/>
      <c r="BG48" s="30"/>
      <c r="BH48" s="29"/>
      <c r="BI48" s="30"/>
      <c r="BJ48" s="30"/>
      <c r="BK48" s="30"/>
      <c r="BL48" s="29"/>
      <c r="BM48" s="30"/>
      <c r="BN48" s="29"/>
      <c r="BO48" s="30"/>
      <c r="BP48" s="30"/>
      <c r="BQ48" s="30"/>
      <c r="BR48" s="30"/>
      <c r="BS48" s="31"/>
      <c r="BT48" s="30"/>
      <c r="BU48" s="30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</row>
    <row r="49" spans="1:251" s="32" customFormat="1" x14ac:dyDescent="0.2">
      <c r="A49" s="81">
        <v>11</v>
      </c>
      <c r="B49" s="11" t="s">
        <v>46</v>
      </c>
      <c r="C49" s="11" t="s">
        <v>173</v>
      </c>
      <c r="D49" s="32" t="s">
        <v>49</v>
      </c>
      <c r="E49" s="12" t="s">
        <v>77</v>
      </c>
      <c r="F49" s="11" t="s">
        <v>50</v>
      </c>
      <c r="G49" s="13">
        <v>42814</v>
      </c>
      <c r="H49" s="13"/>
      <c r="I49" s="13">
        <v>43041</v>
      </c>
      <c r="J49" s="14">
        <v>43152</v>
      </c>
      <c r="K49" s="15">
        <v>101</v>
      </c>
      <c r="L49" s="16">
        <f t="shared" si="12"/>
        <v>338</v>
      </c>
      <c r="M49" s="16">
        <v>584</v>
      </c>
      <c r="N49" s="16">
        <v>620</v>
      </c>
      <c r="O49" s="16">
        <v>610</v>
      </c>
      <c r="P49" s="17">
        <f t="shared" si="13"/>
        <v>615</v>
      </c>
      <c r="Q49" s="17"/>
      <c r="R49" s="17"/>
      <c r="S49" s="17"/>
      <c r="T49" s="17"/>
      <c r="U49" s="18">
        <v>1005</v>
      </c>
      <c r="V49" s="17">
        <v>992</v>
      </c>
      <c r="W49" s="19">
        <v>992</v>
      </c>
      <c r="X49" s="17">
        <f t="shared" si="14"/>
        <v>992</v>
      </c>
      <c r="Y49" s="20">
        <f t="shared" si="15"/>
        <v>2.9349112426035502</v>
      </c>
      <c r="Z49" s="17">
        <f t="shared" si="16"/>
        <v>377</v>
      </c>
      <c r="AA49" s="20">
        <f t="shared" si="17"/>
        <v>3.3660714285714284</v>
      </c>
      <c r="AB49" s="21">
        <v>50</v>
      </c>
      <c r="AC49" s="22">
        <f t="shared" si="18"/>
        <v>5.8625906800000003</v>
      </c>
      <c r="AD49" s="23">
        <v>11.0458</v>
      </c>
      <c r="AE49" s="24">
        <f t="shared" si="19"/>
        <v>1.0990845771144278</v>
      </c>
      <c r="AF49" s="23">
        <v>0.283111</v>
      </c>
      <c r="AG49" s="23">
        <v>3.1090599999999999</v>
      </c>
      <c r="AH49" s="23">
        <v>0.38927699999999998</v>
      </c>
      <c r="AI49" s="25">
        <v>37</v>
      </c>
      <c r="AJ49" s="26">
        <v>1</v>
      </c>
      <c r="AK49" s="26">
        <v>7</v>
      </c>
      <c r="AL49" s="27">
        <v>14.5</v>
      </c>
      <c r="AM49" s="27">
        <v>10.5</v>
      </c>
      <c r="AN49" s="27">
        <f t="shared" si="20"/>
        <v>152.25</v>
      </c>
      <c r="AO49" s="63">
        <f>(AA49/3.25)*100</f>
        <v>103.57142857142856</v>
      </c>
      <c r="AP49" s="63">
        <f>(AE49/1.16)*100</f>
        <v>94.748670440898948</v>
      </c>
      <c r="AQ49" s="63">
        <f>(Y49/2.79)*100</f>
        <v>105.19395134779749</v>
      </c>
      <c r="AR49" s="63">
        <f>(AG49/3.56)*100</f>
        <v>87.333146067415726</v>
      </c>
      <c r="AS49" s="63">
        <f>(AI49/33.4)*100</f>
        <v>110.77844311377245</v>
      </c>
      <c r="AT49" s="63">
        <f t="shared" si="21"/>
        <v>99.604426454028243</v>
      </c>
      <c r="AU49" s="11"/>
      <c r="AV49" s="11"/>
      <c r="AW49" s="11"/>
      <c r="AX49" s="34"/>
      <c r="AY49" s="16"/>
      <c r="AZ49" s="34"/>
      <c r="BA49" s="34"/>
      <c r="BB49" s="16"/>
      <c r="BC49" s="16"/>
      <c r="BD49" s="11"/>
      <c r="BE49" s="11"/>
      <c r="BF49" s="11"/>
      <c r="BG49" s="34"/>
      <c r="BH49" s="16"/>
      <c r="BI49" s="34"/>
      <c r="BJ49" s="34"/>
      <c r="BK49" s="11"/>
      <c r="BL49" s="11"/>
      <c r="BM49" s="11"/>
      <c r="BN49" s="11"/>
      <c r="BO49" s="34"/>
      <c r="BP49" s="11"/>
      <c r="BQ49" s="11"/>
      <c r="BR49" s="11"/>
      <c r="BS49" s="25"/>
      <c r="BT49" s="34"/>
      <c r="BU49" s="34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</row>
    <row r="50" spans="1:251" x14ac:dyDescent="0.2">
      <c r="A50" s="82">
        <v>82</v>
      </c>
      <c r="B50" s="11" t="s">
        <v>52</v>
      </c>
      <c r="C50" s="11" t="s">
        <v>174</v>
      </c>
      <c r="D50" s="45" t="s">
        <v>67</v>
      </c>
      <c r="E50" s="12">
        <v>93</v>
      </c>
      <c r="F50" s="11" t="s">
        <v>154</v>
      </c>
      <c r="G50" s="13">
        <v>42723</v>
      </c>
      <c r="I50" s="13">
        <v>43041</v>
      </c>
      <c r="J50" s="14">
        <v>43152</v>
      </c>
      <c r="K50" s="15">
        <v>119</v>
      </c>
      <c r="L50" s="16">
        <f t="shared" si="12"/>
        <v>429</v>
      </c>
      <c r="M50" s="16">
        <v>590</v>
      </c>
      <c r="N50" s="16">
        <v>632</v>
      </c>
      <c r="O50" s="16">
        <v>648</v>
      </c>
      <c r="P50" s="17">
        <f t="shared" si="13"/>
        <v>640</v>
      </c>
      <c r="U50" s="18">
        <v>1025</v>
      </c>
      <c r="V50" s="17">
        <v>1025</v>
      </c>
      <c r="W50" s="17">
        <v>1030</v>
      </c>
      <c r="X50" s="17">
        <f t="shared" si="14"/>
        <v>1027.5</v>
      </c>
      <c r="Y50" s="20">
        <f t="shared" si="15"/>
        <v>2.395104895104895</v>
      </c>
      <c r="Z50" s="17">
        <f t="shared" si="16"/>
        <v>387.5</v>
      </c>
      <c r="AA50" s="20">
        <f t="shared" si="17"/>
        <v>3.4598214285714284</v>
      </c>
      <c r="AB50" s="21">
        <v>50.5</v>
      </c>
      <c r="AC50" s="22">
        <f t="shared" si="18"/>
        <v>4.9946725700000014</v>
      </c>
      <c r="AD50" s="23">
        <v>11.5145</v>
      </c>
      <c r="AE50" s="24">
        <f t="shared" si="19"/>
        <v>1.1233658536585365</v>
      </c>
      <c r="AF50" s="23">
        <v>0.16136</v>
      </c>
      <c r="AG50" s="23">
        <v>4.1168699999999996</v>
      </c>
      <c r="AH50" s="23">
        <v>0.21357200000000001</v>
      </c>
      <c r="AI50" s="25">
        <v>37</v>
      </c>
      <c r="AJ50" s="26">
        <v>1</v>
      </c>
      <c r="AK50" s="26">
        <v>6</v>
      </c>
      <c r="AL50" s="27">
        <v>14.5</v>
      </c>
      <c r="AM50" s="27">
        <v>12</v>
      </c>
      <c r="AN50" s="27">
        <f t="shared" si="20"/>
        <v>174</v>
      </c>
      <c r="AO50" s="63">
        <f>(AA50/3.62)*100</f>
        <v>95.575177584846088</v>
      </c>
      <c r="AP50" s="63">
        <f>(AE50/1.1)*100</f>
        <v>102.12416851441239</v>
      </c>
      <c r="AQ50" s="63">
        <f>(Y50/2.65)*100</f>
        <v>90.381316796411141</v>
      </c>
      <c r="AR50" s="63">
        <f>(AG50/3.56)*100</f>
        <v>115.64241573033706</v>
      </c>
      <c r="AS50" s="63">
        <f>(AI50/40.1)*100</f>
        <v>92.269326683291766</v>
      </c>
      <c r="AT50" s="63">
        <f t="shared" si="21"/>
        <v>99.529066152015133</v>
      </c>
    </row>
    <row r="51" spans="1:251" s="35" customFormat="1" ht="15.75" x14ac:dyDescent="0.25">
      <c r="A51" s="81">
        <v>33</v>
      </c>
      <c r="B51" s="11" t="s">
        <v>52</v>
      </c>
      <c r="C51" s="11" t="s">
        <v>174</v>
      </c>
      <c r="D51" s="32" t="s">
        <v>103</v>
      </c>
      <c r="E51" s="12" t="s">
        <v>96</v>
      </c>
      <c r="F51" s="11" t="s">
        <v>54</v>
      </c>
      <c r="G51" s="13">
        <v>42678</v>
      </c>
      <c r="H51" s="13"/>
      <c r="I51" s="13">
        <v>43041</v>
      </c>
      <c r="J51" s="14">
        <v>43152</v>
      </c>
      <c r="K51" s="37">
        <v>106</v>
      </c>
      <c r="L51" s="16">
        <f t="shared" si="12"/>
        <v>474</v>
      </c>
      <c r="M51" s="16">
        <v>660</v>
      </c>
      <c r="N51" s="16">
        <v>716</v>
      </c>
      <c r="O51" s="16">
        <v>752</v>
      </c>
      <c r="P51" s="17">
        <f t="shared" si="13"/>
        <v>734</v>
      </c>
      <c r="Q51" s="17"/>
      <c r="R51" s="17"/>
      <c r="S51" s="17"/>
      <c r="T51" s="17"/>
      <c r="U51" s="18">
        <v>1055</v>
      </c>
      <c r="V51" s="17">
        <v>1050</v>
      </c>
      <c r="W51" s="17">
        <v>1035</v>
      </c>
      <c r="X51" s="17">
        <f t="shared" si="14"/>
        <v>1042.5</v>
      </c>
      <c r="Y51" s="20">
        <f t="shared" si="15"/>
        <v>2.1993670886075951</v>
      </c>
      <c r="Z51" s="17">
        <f t="shared" si="16"/>
        <v>308.5</v>
      </c>
      <c r="AA51" s="20">
        <f t="shared" si="17"/>
        <v>2.7544642857142856</v>
      </c>
      <c r="AB51" s="21">
        <v>51</v>
      </c>
      <c r="AC51" s="22">
        <f t="shared" si="18"/>
        <v>4.8130533200000016</v>
      </c>
      <c r="AD51" s="23">
        <v>12.569900000000001</v>
      </c>
      <c r="AE51" s="24">
        <f t="shared" si="19"/>
        <v>1.1914597156398106</v>
      </c>
      <c r="AF51" s="23">
        <v>0.34566799999999998</v>
      </c>
      <c r="AG51" s="23">
        <v>3.7553999999999998</v>
      </c>
      <c r="AH51" s="23">
        <v>0.38927699999999998</v>
      </c>
      <c r="AI51" s="25">
        <v>36.5</v>
      </c>
      <c r="AJ51" s="26">
        <v>3</v>
      </c>
      <c r="AK51" s="26">
        <v>7</v>
      </c>
      <c r="AL51" s="27">
        <v>15</v>
      </c>
      <c r="AM51" s="27">
        <v>12</v>
      </c>
      <c r="AN51" s="27">
        <f t="shared" si="20"/>
        <v>180</v>
      </c>
      <c r="AO51" s="63">
        <f>(AA51/2.82)*100</f>
        <v>97.676038500506593</v>
      </c>
      <c r="AP51" s="63">
        <f>(AE51/1.16)*100</f>
        <v>102.71204445170781</v>
      </c>
      <c r="AQ51" s="63">
        <f>(Y51/2.39)*100</f>
        <v>92.023727556803138</v>
      </c>
      <c r="AR51" s="63">
        <f>(AG51/3.5)*100</f>
        <v>107.29714285714284</v>
      </c>
      <c r="AS51" s="63">
        <f>(AI51/37.2)*100</f>
        <v>98.118279569892465</v>
      </c>
      <c r="AT51" s="63">
        <f t="shared" si="21"/>
        <v>99.521222480271987</v>
      </c>
      <c r="AU51" s="11"/>
      <c r="AV51" s="11"/>
      <c r="AX51" s="56"/>
      <c r="AY51" s="54"/>
      <c r="AZ51" s="56"/>
      <c r="BA51" s="56"/>
      <c r="BB51" s="54"/>
      <c r="BC51" s="54"/>
      <c r="BG51" s="56"/>
      <c r="BH51" s="54"/>
      <c r="BI51" s="56"/>
      <c r="BJ51" s="56"/>
      <c r="BO51" s="56"/>
      <c r="BS51" s="55"/>
      <c r="BT51" s="56"/>
      <c r="BU51" s="56"/>
    </row>
    <row r="52" spans="1:251" x14ac:dyDescent="0.2">
      <c r="A52" s="82">
        <v>43</v>
      </c>
      <c r="B52" s="11" t="s">
        <v>46</v>
      </c>
      <c r="C52" s="11" t="s">
        <v>173</v>
      </c>
      <c r="D52" s="11" t="s">
        <v>60</v>
      </c>
      <c r="E52" s="12" t="s">
        <v>106</v>
      </c>
      <c r="F52" s="11" t="s">
        <v>51</v>
      </c>
      <c r="G52" s="13">
        <v>42765</v>
      </c>
      <c r="I52" s="13">
        <v>43041</v>
      </c>
      <c r="J52" s="14">
        <v>43152</v>
      </c>
      <c r="K52" s="15">
        <v>107</v>
      </c>
      <c r="L52" s="16">
        <f t="shared" si="12"/>
        <v>387</v>
      </c>
      <c r="M52" s="16">
        <v>670</v>
      </c>
      <c r="N52" s="16">
        <v>678</v>
      </c>
      <c r="O52" s="16">
        <v>686</v>
      </c>
      <c r="P52" s="17">
        <f t="shared" si="13"/>
        <v>682</v>
      </c>
      <c r="Q52" s="15"/>
      <c r="R52" s="15"/>
      <c r="S52" s="15"/>
      <c r="T52" s="15"/>
      <c r="U52" s="18">
        <v>1075</v>
      </c>
      <c r="V52" s="17">
        <v>1065</v>
      </c>
      <c r="W52" s="15">
        <v>1095</v>
      </c>
      <c r="X52" s="17">
        <f t="shared" si="14"/>
        <v>1080</v>
      </c>
      <c r="Y52" s="20">
        <f t="shared" si="15"/>
        <v>2.7906976744186047</v>
      </c>
      <c r="Z52" s="17">
        <f t="shared" si="16"/>
        <v>398</v>
      </c>
      <c r="AA52" s="20">
        <f t="shared" si="17"/>
        <v>3.5535714285714284</v>
      </c>
      <c r="AB52" s="22">
        <v>49</v>
      </c>
      <c r="AC52" s="22">
        <f t="shared" si="18"/>
        <v>4.7192666300000026</v>
      </c>
      <c r="AD52" s="23">
        <v>11.171799999999999</v>
      </c>
      <c r="AE52" s="24">
        <f t="shared" si="19"/>
        <v>1.0392372093023254</v>
      </c>
      <c r="AF52" s="23">
        <v>0.15502199999999999</v>
      </c>
      <c r="AG52" s="23">
        <v>3.8369800000000001</v>
      </c>
      <c r="AH52" s="23">
        <v>0.21727399999999999</v>
      </c>
      <c r="AI52" s="25">
        <v>39</v>
      </c>
      <c r="AJ52" s="16">
        <v>5</v>
      </c>
      <c r="AK52" s="16">
        <v>7</v>
      </c>
      <c r="AL52" s="25">
        <v>16</v>
      </c>
      <c r="AM52" s="25">
        <v>11.5</v>
      </c>
      <c r="AN52" s="27">
        <f t="shared" si="20"/>
        <v>184</v>
      </c>
      <c r="AO52" s="63">
        <f>(AA52/3.62)*100</f>
        <v>98.164956590370949</v>
      </c>
      <c r="AP52" s="63">
        <f>(AE52/1.1)*100</f>
        <v>94.476109936575043</v>
      </c>
      <c r="AQ52" s="63">
        <f>(Y52/3.03)*100</f>
        <v>92.102233479161882</v>
      </c>
      <c r="AR52" s="63">
        <f>(AG52/3.56)*100</f>
        <v>107.78033707865168</v>
      </c>
      <c r="AS52" s="63">
        <f>(AI52/35.6)*100</f>
        <v>109.55056179775281</v>
      </c>
      <c r="AT52" s="63">
        <f t="shared" si="21"/>
        <v>99.276279255764294</v>
      </c>
    </row>
    <row r="53" spans="1:251" x14ac:dyDescent="0.2">
      <c r="A53" s="81">
        <v>25</v>
      </c>
      <c r="B53" s="11" t="s">
        <v>52</v>
      </c>
      <c r="C53" s="11" t="s">
        <v>174</v>
      </c>
      <c r="D53" s="32" t="s">
        <v>88</v>
      </c>
      <c r="E53" s="33">
        <v>165</v>
      </c>
      <c r="F53" s="11" t="s">
        <v>51</v>
      </c>
      <c r="G53" s="13">
        <v>42643</v>
      </c>
      <c r="I53" s="13">
        <v>43041</v>
      </c>
      <c r="J53" s="14">
        <v>43152</v>
      </c>
      <c r="K53" s="15">
        <v>105</v>
      </c>
      <c r="L53" s="16">
        <f t="shared" si="12"/>
        <v>509</v>
      </c>
      <c r="M53" s="16">
        <v>762</v>
      </c>
      <c r="N53" s="16">
        <v>792</v>
      </c>
      <c r="O53" s="16">
        <v>818</v>
      </c>
      <c r="P53" s="17">
        <f t="shared" si="13"/>
        <v>805</v>
      </c>
      <c r="U53" s="18">
        <v>1260</v>
      </c>
      <c r="V53" s="17">
        <v>1265</v>
      </c>
      <c r="W53" s="17">
        <v>1275</v>
      </c>
      <c r="X53" s="17">
        <f t="shared" si="14"/>
        <v>1270</v>
      </c>
      <c r="Y53" s="20">
        <f t="shared" si="15"/>
        <v>2.495088408644401</v>
      </c>
      <c r="Z53" s="17">
        <f t="shared" si="16"/>
        <v>465</v>
      </c>
      <c r="AA53" s="20">
        <f t="shared" si="17"/>
        <v>4.1517857142857144</v>
      </c>
      <c r="AB53" s="21">
        <v>55</v>
      </c>
      <c r="AC53" s="22">
        <f t="shared" si="18"/>
        <v>6.5502400700000019</v>
      </c>
      <c r="AD53" s="23">
        <v>14.5007</v>
      </c>
      <c r="AE53" s="24">
        <f t="shared" si="19"/>
        <v>1.1508492063492064</v>
      </c>
      <c r="AF53" s="23">
        <v>0.241647</v>
      </c>
      <c r="AG53" s="23">
        <v>3.1951299999999998</v>
      </c>
      <c r="AH53" s="23">
        <v>0.28404600000000002</v>
      </c>
      <c r="AI53" s="25">
        <v>39</v>
      </c>
      <c r="AJ53" s="26">
        <v>3</v>
      </c>
      <c r="AK53" s="26">
        <v>7</v>
      </c>
      <c r="AL53" s="27">
        <v>15</v>
      </c>
      <c r="AM53" s="27">
        <v>12</v>
      </c>
      <c r="AN53" s="27">
        <f t="shared" si="20"/>
        <v>180</v>
      </c>
      <c r="AO53" s="63">
        <f>(AA53/4.07)*100</f>
        <v>102.009477009477</v>
      </c>
      <c r="AP53" s="63">
        <f>(AE53/1.08)*100</f>
        <v>106.56011169900059</v>
      </c>
      <c r="AQ53" s="63">
        <f>(Y53/2.61)*100</f>
        <v>95.597257036183947</v>
      </c>
      <c r="AR53" s="63">
        <f>(AG53/3.55)*100</f>
        <v>90.003661971830979</v>
      </c>
      <c r="AS53" s="63">
        <f>(AI53/38.1)*100</f>
        <v>102.36220472440945</v>
      </c>
      <c r="AT53" s="63">
        <f t="shared" si="21"/>
        <v>99.271269716687158</v>
      </c>
      <c r="AU53" s="30"/>
      <c r="AV53" s="30"/>
      <c r="AW53" s="30"/>
      <c r="AX53" s="30"/>
      <c r="AY53" s="29"/>
      <c r="AZ53" s="30"/>
      <c r="BA53" s="30"/>
      <c r="BC53" s="30"/>
      <c r="BD53" s="30"/>
      <c r="BE53" s="30"/>
      <c r="BF53" s="30"/>
      <c r="BG53" s="30"/>
      <c r="BH53" s="29"/>
      <c r="BI53" s="30"/>
      <c r="BJ53" s="30"/>
      <c r="BK53" s="30"/>
      <c r="BL53" s="29"/>
      <c r="BM53" s="30"/>
      <c r="BN53" s="29"/>
      <c r="BO53" s="30"/>
      <c r="BP53" s="30"/>
      <c r="BQ53" s="30"/>
      <c r="BR53" s="30"/>
      <c r="BS53" s="31"/>
      <c r="BT53" s="30"/>
      <c r="BU53" s="30"/>
    </row>
    <row r="54" spans="1:251" x14ac:dyDescent="0.2">
      <c r="A54" s="81">
        <v>70</v>
      </c>
      <c r="B54" s="11" t="s">
        <v>53</v>
      </c>
      <c r="C54" s="11" t="s">
        <v>172</v>
      </c>
      <c r="D54" s="32" t="s">
        <v>138</v>
      </c>
      <c r="E54" s="12" t="s">
        <v>140</v>
      </c>
      <c r="F54" s="11" t="s">
        <v>139</v>
      </c>
      <c r="G54" s="13">
        <v>42531</v>
      </c>
      <c r="I54" s="13">
        <v>43041</v>
      </c>
      <c r="J54" s="14">
        <v>43152</v>
      </c>
      <c r="K54" s="15">
        <v>115</v>
      </c>
      <c r="L54" s="16">
        <f t="shared" si="12"/>
        <v>621</v>
      </c>
      <c r="M54" s="16">
        <v>1035</v>
      </c>
      <c r="N54" s="16">
        <v>1015</v>
      </c>
      <c r="O54" s="16">
        <v>1040</v>
      </c>
      <c r="P54" s="17">
        <f t="shared" si="13"/>
        <v>1027.5</v>
      </c>
      <c r="U54" s="18">
        <v>1410</v>
      </c>
      <c r="V54" s="17">
        <v>1430</v>
      </c>
      <c r="W54" s="17">
        <v>1430</v>
      </c>
      <c r="X54" s="17">
        <f t="shared" si="14"/>
        <v>1430</v>
      </c>
      <c r="Y54" s="20">
        <f t="shared" si="15"/>
        <v>2.3027375201288245</v>
      </c>
      <c r="Z54" s="17">
        <f t="shared" si="16"/>
        <v>402.5</v>
      </c>
      <c r="AA54" s="20">
        <f t="shared" si="17"/>
        <v>3.59375</v>
      </c>
      <c r="AB54" s="21">
        <v>56.5</v>
      </c>
      <c r="AC54" s="22">
        <f t="shared" si="18"/>
        <v>6.7461193700000042</v>
      </c>
      <c r="AD54" s="23">
        <v>15.5177</v>
      </c>
      <c r="AE54" s="24">
        <f t="shared" si="19"/>
        <v>1.1005460992907801</v>
      </c>
      <c r="AF54" s="23">
        <v>0.23543700000000001</v>
      </c>
      <c r="AG54" s="23">
        <v>3.5760700000000001</v>
      </c>
      <c r="AH54" s="23">
        <v>0.371583</v>
      </c>
      <c r="AI54" s="25">
        <v>40.5</v>
      </c>
      <c r="AJ54" s="26">
        <v>3</v>
      </c>
      <c r="AK54" s="26">
        <v>7</v>
      </c>
      <c r="AL54" s="27">
        <v>17</v>
      </c>
      <c r="AM54" s="27">
        <v>12</v>
      </c>
      <c r="AN54" s="27">
        <f t="shared" si="20"/>
        <v>204</v>
      </c>
      <c r="AO54" s="63">
        <f>(AA54/3.56)*100</f>
        <v>100.94803370786516</v>
      </c>
      <c r="AP54" s="63">
        <f>(AE54/1.08)*100</f>
        <v>101.90241660099815</v>
      </c>
      <c r="AQ54" s="63">
        <f>(Y54/2.4)*100</f>
        <v>95.947396672034358</v>
      </c>
      <c r="AR54" s="63">
        <f>(AG54/3.7)*100</f>
        <v>96.650540540540547</v>
      </c>
      <c r="AS54" s="63">
        <f>(AI54/40.5)*100</f>
        <v>100</v>
      </c>
      <c r="AT54" s="63">
        <f t="shared" si="21"/>
        <v>99.184480875074158</v>
      </c>
      <c r="AW54" s="30"/>
      <c r="AX54" s="30"/>
      <c r="AY54" s="29"/>
      <c r="AZ54" s="30"/>
      <c r="BA54" s="30"/>
      <c r="BC54" s="30"/>
      <c r="BD54" s="30"/>
      <c r="BE54" s="30"/>
      <c r="BF54" s="30"/>
      <c r="BG54" s="30"/>
      <c r="BH54" s="29"/>
      <c r="BI54" s="30"/>
      <c r="BJ54" s="30"/>
      <c r="BK54" s="30"/>
      <c r="BL54" s="29"/>
      <c r="BM54" s="30"/>
      <c r="BN54" s="29"/>
      <c r="BO54" s="30"/>
      <c r="BP54" s="30"/>
      <c r="BQ54" s="30"/>
      <c r="BR54" s="30"/>
      <c r="BS54" s="31"/>
      <c r="BT54" s="30"/>
      <c r="BU54" s="30"/>
    </row>
    <row r="55" spans="1:251" x14ac:dyDescent="0.2">
      <c r="A55" s="81">
        <v>66</v>
      </c>
      <c r="B55" s="11" t="s">
        <v>46</v>
      </c>
      <c r="C55" s="11" t="s">
        <v>173</v>
      </c>
      <c r="D55" s="32" t="s">
        <v>66</v>
      </c>
      <c r="E55" s="12" t="s">
        <v>134</v>
      </c>
      <c r="F55" s="11" t="s">
        <v>51</v>
      </c>
      <c r="G55" s="13">
        <v>42805</v>
      </c>
      <c r="I55" s="13">
        <v>43041</v>
      </c>
      <c r="J55" s="14">
        <v>43152</v>
      </c>
      <c r="K55" s="15">
        <v>114</v>
      </c>
      <c r="L55" s="16">
        <f t="shared" si="12"/>
        <v>347</v>
      </c>
      <c r="M55" s="16">
        <v>650</v>
      </c>
      <c r="N55" s="11">
        <v>722</v>
      </c>
      <c r="O55" s="16">
        <v>728</v>
      </c>
      <c r="P55" s="17">
        <f t="shared" si="13"/>
        <v>725</v>
      </c>
      <c r="U55" s="18">
        <v>1150</v>
      </c>
      <c r="V55" s="15">
        <v>1160</v>
      </c>
      <c r="W55" s="17">
        <v>1160</v>
      </c>
      <c r="X55" s="17">
        <f t="shared" si="14"/>
        <v>1160</v>
      </c>
      <c r="Y55" s="20">
        <f t="shared" si="15"/>
        <v>3.3429394812680115</v>
      </c>
      <c r="Z55" s="17">
        <f t="shared" si="16"/>
        <v>435</v>
      </c>
      <c r="AA55" s="20">
        <f t="shared" si="17"/>
        <v>3.8839285714285716</v>
      </c>
      <c r="AB55" s="21">
        <v>50</v>
      </c>
      <c r="AC55" s="22">
        <f t="shared" si="18"/>
        <v>5.7375532300000014</v>
      </c>
      <c r="AD55" s="23">
        <v>12.3569</v>
      </c>
      <c r="AE55" s="24">
        <f t="shared" si="19"/>
        <v>1.0745130434782608</v>
      </c>
      <c r="AF55" s="23">
        <v>0.26541599999999999</v>
      </c>
      <c r="AG55" s="23">
        <v>2.7606600000000001</v>
      </c>
      <c r="AH55" s="23">
        <v>0.44235999999999998</v>
      </c>
      <c r="AI55" s="25">
        <v>35</v>
      </c>
      <c r="AJ55" s="26">
        <v>3</v>
      </c>
      <c r="AK55" s="26">
        <v>7</v>
      </c>
      <c r="AL55" s="27">
        <v>15.5</v>
      </c>
      <c r="AM55" s="27">
        <v>12.5</v>
      </c>
      <c r="AN55" s="27">
        <f t="shared" si="20"/>
        <v>193.75</v>
      </c>
      <c r="AO55" s="63">
        <f>(AA55/3.62)*100</f>
        <v>107.29084451460142</v>
      </c>
      <c r="AP55" s="63">
        <f>(AE55/1.1)*100</f>
        <v>97.683003952569152</v>
      </c>
      <c r="AQ55" s="63">
        <f>(Y55/3.03)*100</f>
        <v>110.32803568541294</v>
      </c>
      <c r="AR55" s="63">
        <f>(AG55/3.56)*100</f>
        <v>77.546629213483158</v>
      </c>
      <c r="AS55" s="63">
        <f>(AI55/35.6)*100</f>
        <v>98.31460674157303</v>
      </c>
      <c r="AT55" s="63">
        <f t="shared" si="21"/>
        <v>99.13024779883078</v>
      </c>
      <c r="AU55" s="30"/>
      <c r="AV55" s="30"/>
      <c r="AW55" s="30"/>
      <c r="AX55" s="30"/>
      <c r="AY55" s="29"/>
      <c r="AZ55" s="30"/>
      <c r="BA55" s="30"/>
      <c r="BB55" s="29"/>
      <c r="BC55" s="30"/>
      <c r="BD55" s="30"/>
      <c r="BE55" s="30"/>
      <c r="BF55" s="30"/>
      <c r="BG55" s="30"/>
      <c r="BH55" s="29"/>
      <c r="BI55" s="30"/>
      <c r="BJ55" s="30"/>
      <c r="BK55" s="30"/>
      <c r="BL55" s="29"/>
      <c r="BM55" s="30"/>
      <c r="BN55" s="29"/>
      <c r="BO55" s="30"/>
      <c r="BP55" s="30"/>
      <c r="BQ55" s="30"/>
      <c r="BR55" s="30"/>
      <c r="BS55" s="31"/>
      <c r="BT55" s="30"/>
      <c r="BU55" s="30"/>
    </row>
    <row r="56" spans="1:251" s="35" customFormat="1" ht="15.75" x14ac:dyDescent="0.25">
      <c r="A56" s="81">
        <v>35</v>
      </c>
      <c r="B56" s="11" t="s">
        <v>52</v>
      </c>
      <c r="C56" s="11" t="s">
        <v>174</v>
      </c>
      <c r="D56" s="32" t="s">
        <v>103</v>
      </c>
      <c r="E56" s="12" t="s">
        <v>98</v>
      </c>
      <c r="F56" s="11" t="s">
        <v>59</v>
      </c>
      <c r="G56" s="13">
        <v>42641</v>
      </c>
      <c r="H56" s="13"/>
      <c r="I56" s="13">
        <v>43041</v>
      </c>
      <c r="J56" s="14">
        <v>43152</v>
      </c>
      <c r="K56" s="37">
        <v>106</v>
      </c>
      <c r="L56" s="16">
        <f t="shared" si="12"/>
        <v>511</v>
      </c>
      <c r="M56" s="16">
        <v>962</v>
      </c>
      <c r="N56" s="16">
        <v>1045</v>
      </c>
      <c r="O56" s="16">
        <v>1075</v>
      </c>
      <c r="P56" s="17">
        <f t="shared" si="13"/>
        <v>1060</v>
      </c>
      <c r="Q56" s="17"/>
      <c r="R56" s="17"/>
      <c r="S56" s="17"/>
      <c r="T56" s="17"/>
      <c r="U56" s="18">
        <v>1475</v>
      </c>
      <c r="V56" s="17">
        <v>1460</v>
      </c>
      <c r="W56" s="17">
        <v>1430</v>
      </c>
      <c r="X56" s="17">
        <f t="shared" si="14"/>
        <v>1445</v>
      </c>
      <c r="Y56" s="20">
        <f t="shared" si="15"/>
        <v>2.8277886497064579</v>
      </c>
      <c r="Z56" s="17">
        <f t="shared" si="16"/>
        <v>385</v>
      </c>
      <c r="AA56" s="20">
        <f t="shared" si="17"/>
        <v>3.4375</v>
      </c>
      <c r="AB56" s="21">
        <v>55</v>
      </c>
      <c r="AC56" s="22">
        <f t="shared" si="18"/>
        <v>6.5358328700000019</v>
      </c>
      <c r="AD56" s="23">
        <v>16.333500000000001</v>
      </c>
      <c r="AE56" s="24">
        <f t="shared" si="19"/>
        <v>1.1073559322033899</v>
      </c>
      <c r="AF56" s="23">
        <v>0.18941</v>
      </c>
      <c r="AG56" s="23">
        <v>3.48569</v>
      </c>
      <c r="AH56" s="23">
        <v>0.26641399999999998</v>
      </c>
      <c r="AI56" s="25">
        <v>42</v>
      </c>
      <c r="AJ56" s="26">
        <v>4</v>
      </c>
      <c r="AK56" s="26">
        <v>7</v>
      </c>
      <c r="AL56" s="27">
        <v>16</v>
      </c>
      <c r="AM56" s="27">
        <v>13</v>
      </c>
      <c r="AN56" s="27">
        <f t="shared" si="20"/>
        <v>208</v>
      </c>
      <c r="AO56" s="63">
        <f>(AA56/3.6)*100</f>
        <v>95.4861111111111</v>
      </c>
      <c r="AP56" s="63">
        <f>(AE56/1.1)*100</f>
        <v>100.66872110939909</v>
      </c>
      <c r="AQ56" s="63">
        <f>(Y56/2.74)*100</f>
        <v>103.20396531775393</v>
      </c>
      <c r="AR56" s="63">
        <f>(AG56/3.56)*100</f>
        <v>97.9126404494382</v>
      </c>
      <c r="AS56" s="63">
        <f>(AI56/41.5)*100</f>
        <v>101.20481927710843</v>
      </c>
      <c r="AT56" s="63">
        <f t="shared" si="21"/>
        <v>99.123380636362427</v>
      </c>
      <c r="AU56" s="11"/>
      <c r="AV56" s="11"/>
      <c r="AW56" s="73"/>
      <c r="AX56" s="73"/>
      <c r="AY56" s="72"/>
      <c r="AZ56" s="73"/>
      <c r="BA56" s="73"/>
      <c r="BB56" s="72"/>
      <c r="BC56" s="73"/>
      <c r="BD56" s="73"/>
      <c r="BE56" s="73"/>
      <c r="BF56" s="73"/>
      <c r="BG56" s="73"/>
      <c r="BH56" s="72"/>
      <c r="BI56" s="73"/>
      <c r="BJ56" s="73"/>
      <c r="BK56" s="73"/>
      <c r="BL56" s="72"/>
      <c r="BM56" s="73"/>
      <c r="BN56" s="72"/>
      <c r="BO56" s="73"/>
      <c r="BP56" s="73"/>
      <c r="BQ56" s="73"/>
      <c r="BR56" s="73"/>
      <c r="BS56" s="74"/>
      <c r="BT56" s="73"/>
      <c r="BU56" s="73"/>
    </row>
    <row r="57" spans="1:251" x14ac:dyDescent="0.2">
      <c r="A57" s="81">
        <v>81</v>
      </c>
      <c r="B57" s="11" t="s">
        <v>46</v>
      </c>
      <c r="C57" s="11" t="s">
        <v>173</v>
      </c>
      <c r="D57" s="11" t="s">
        <v>152</v>
      </c>
      <c r="E57" s="12" t="s">
        <v>134</v>
      </c>
      <c r="F57" s="11" t="s">
        <v>54</v>
      </c>
      <c r="G57" s="13">
        <v>42770</v>
      </c>
      <c r="I57" s="13">
        <v>43041</v>
      </c>
      <c r="J57" s="14">
        <v>43152</v>
      </c>
      <c r="K57" s="15">
        <v>118</v>
      </c>
      <c r="L57" s="16">
        <f t="shared" si="12"/>
        <v>382</v>
      </c>
      <c r="M57" s="16">
        <v>536</v>
      </c>
      <c r="N57" s="16">
        <v>598</v>
      </c>
      <c r="O57" s="16">
        <v>608</v>
      </c>
      <c r="P57" s="17">
        <f t="shared" si="13"/>
        <v>603</v>
      </c>
      <c r="U57" s="18">
        <v>948</v>
      </c>
      <c r="V57" s="17">
        <v>944</v>
      </c>
      <c r="W57" s="19">
        <v>954</v>
      </c>
      <c r="X57" s="17">
        <f t="shared" si="14"/>
        <v>949</v>
      </c>
      <c r="Y57" s="20">
        <f t="shared" si="15"/>
        <v>2.4842931937172774</v>
      </c>
      <c r="Z57" s="17">
        <f t="shared" si="16"/>
        <v>346</v>
      </c>
      <c r="AA57" s="20">
        <f t="shared" si="17"/>
        <v>3.0892857142857144</v>
      </c>
      <c r="AB57" s="21">
        <v>52</v>
      </c>
      <c r="AC57" s="22">
        <f t="shared" si="18"/>
        <v>6.2823978800000013</v>
      </c>
      <c r="AD57" s="23">
        <v>10.3093</v>
      </c>
      <c r="AE57" s="24">
        <f t="shared" si="19"/>
        <v>1.0874789029535865</v>
      </c>
      <c r="AF57" s="23">
        <v>0.31213000000000002</v>
      </c>
      <c r="AG57" s="23">
        <v>3.8804099999999999</v>
      </c>
      <c r="AH57" s="23">
        <v>0.46179900000000002</v>
      </c>
      <c r="AI57" s="25">
        <v>31</v>
      </c>
      <c r="AJ57" s="26">
        <v>3</v>
      </c>
      <c r="AK57" s="26">
        <v>6</v>
      </c>
      <c r="AL57" s="27">
        <v>14</v>
      </c>
      <c r="AM57" s="27">
        <v>10</v>
      </c>
      <c r="AN57" s="27">
        <f t="shared" si="20"/>
        <v>140</v>
      </c>
      <c r="AO57" s="63">
        <f>(AA57/3.09)*100</f>
        <v>99.976883957466484</v>
      </c>
      <c r="AP57" s="63">
        <f>(AE57/1.13)*100</f>
        <v>96.237071057839515</v>
      </c>
      <c r="AQ57" s="63">
        <f>(Y57/2.49)*100</f>
        <v>99.770810992661737</v>
      </c>
      <c r="AR57" s="63">
        <f>(AG57/3.93)*100</f>
        <v>98.738167938931284</v>
      </c>
      <c r="AS57" s="63">
        <f>(AI57/30.83)*100</f>
        <v>100.55141096334739</v>
      </c>
      <c r="AT57" s="63">
        <f t="shared" si="21"/>
        <v>98.997416281461184</v>
      </c>
      <c r="AU57" s="30"/>
      <c r="AV57" s="30"/>
      <c r="AW57" s="30"/>
      <c r="AX57" s="30"/>
      <c r="AY57" s="29"/>
      <c r="AZ57" s="30"/>
      <c r="BA57" s="30"/>
      <c r="BB57" s="29"/>
      <c r="BC57" s="30"/>
      <c r="BD57" s="30"/>
      <c r="BE57" s="30"/>
      <c r="BF57" s="30"/>
      <c r="BG57" s="30"/>
      <c r="BH57" s="29"/>
      <c r="BI57" s="30"/>
      <c r="BJ57" s="30"/>
      <c r="BK57" s="30"/>
      <c r="BL57" s="29"/>
      <c r="BM57" s="30"/>
      <c r="BN57" s="29"/>
      <c r="BO57" s="30"/>
      <c r="BP57" s="30"/>
      <c r="BQ57" s="30"/>
      <c r="BR57" s="30"/>
      <c r="BS57" s="31"/>
      <c r="BT57" s="30"/>
      <c r="BU57" s="30"/>
    </row>
    <row r="58" spans="1:251" x14ac:dyDescent="0.2">
      <c r="A58" s="81">
        <v>57</v>
      </c>
      <c r="B58" s="11" t="s">
        <v>52</v>
      </c>
      <c r="C58" s="11" t="s">
        <v>174</v>
      </c>
      <c r="D58" s="11" t="s">
        <v>117</v>
      </c>
      <c r="E58" s="12" t="s">
        <v>124</v>
      </c>
      <c r="F58" s="11" t="s">
        <v>59</v>
      </c>
      <c r="G58" s="36">
        <v>42670</v>
      </c>
      <c r="I58" s="13">
        <v>43041</v>
      </c>
      <c r="J58" s="14">
        <v>43152</v>
      </c>
      <c r="K58" s="15">
        <v>111</v>
      </c>
      <c r="L58" s="16">
        <f t="shared" si="12"/>
        <v>482</v>
      </c>
      <c r="M58" s="16">
        <v>934</v>
      </c>
      <c r="N58" s="16">
        <v>990</v>
      </c>
      <c r="O58" s="16">
        <v>1030</v>
      </c>
      <c r="P58" s="17">
        <f t="shared" si="13"/>
        <v>1010</v>
      </c>
      <c r="U58" s="18">
        <v>1375</v>
      </c>
      <c r="V58" s="17">
        <v>1370</v>
      </c>
      <c r="W58" s="19">
        <v>1380</v>
      </c>
      <c r="X58" s="17">
        <f t="shared" si="14"/>
        <v>1375</v>
      </c>
      <c r="Y58" s="20">
        <f t="shared" si="15"/>
        <v>2.8526970954356847</v>
      </c>
      <c r="Z58" s="17">
        <f t="shared" si="16"/>
        <v>365</v>
      </c>
      <c r="AA58" s="20">
        <f t="shared" si="17"/>
        <v>3.2589285714285716</v>
      </c>
      <c r="AB58" s="21">
        <v>54</v>
      </c>
      <c r="AC58" s="22">
        <f t="shared" si="18"/>
        <v>6.2560834800000009</v>
      </c>
      <c r="AD58" s="23">
        <v>15.0296</v>
      </c>
      <c r="AE58" s="24">
        <f t="shared" si="19"/>
        <v>1.0930618181818181</v>
      </c>
      <c r="AF58" s="23">
        <v>0.25292599999999998</v>
      </c>
      <c r="AG58" s="23">
        <v>3.6876600000000002</v>
      </c>
      <c r="AH58" s="23">
        <v>0.23002700000000001</v>
      </c>
      <c r="AI58" s="25">
        <v>43</v>
      </c>
      <c r="AJ58" s="26">
        <v>4</v>
      </c>
      <c r="AK58" s="26">
        <v>7</v>
      </c>
      <c r="AL58" s="27">
        <v>16</v>
      </c>
      <c r="AM58" s="27">
        <v>12</v>
      </c>
      <c r="AN58" s="27">
        <f t="shared" si="20"/>
        <v>192</v>
      </c>
      <c r="AO58" s="63">
        <f>(AA58/3.6)*100</f>
        <v>90.525793650793645</v>
      </c>
      <c r="AP58" s="63">
        <f>(AE58/1.1)*100</f>
        <v>99.369256198347102</v>
      </c>
      <c r="AQ58" s="63">
        <f>(Y58/2.74)*100</f>
        <v>104.11303268013448</v>
      </c>
      <c r="AR58" s="63">
        <f>(AG58/3.56)*100</f>
        <v>103.58595505617978</v>
      </c>
      <c r="AS58" s="63">
        <f>(AI58/41.5)*100</f>
        <v>103.6144578313253</v>
      </c>
      <c r="AT58" s="63">
        <f t="shared" si="21"/>
        <v>98.932832665302897</v>
      </c>
    </row>
    <row r="59" spans="1:251" x14ac:dyDescent="0.2">
      <c r="A59" s="82">
        <v>76</v>
      </c>
      <c r="B59" s="11" t="s">
        <v>46</v>
      </c>
      <c r="C59" s="11" t="s">
        <v>173</v>
      </c>
      <c r="D59" s="32" t="s">
        <v>142</v>
      </c>
      <c r="E59" s="12" t="s">
        <v>147</v>
      </c>
      <c r="F59" s="11" t="s">
        <v>59</v>
      </c>
      <c r="G59" s="13">
        <v>42749</v>
      </c>
      <c r="I59" s="13">
        <v>43041</v>
      </c>
      <c r="J59" s="14">
        <v>43152</v>
      </c>
      <c r="K59" s="15">
        <v>116</v>
      </c>
      <c r="L59" s="16">
        <f t="shared" si="12"/>
        <v>403</v>
      </c>
      <c r="M59" s="16">
        <v>744</v>
      </c>
      <c r="N59" s="16">
        <v>772</v>
      </c>
      <c r="O59" s="16">
        <v>780</v>
      </c>
      <c r="P59" s="17">
        <f t="shared" si="13"/>
        <v>776</v>
      </c>
      <c r="U59" s="18">
        <v>1155</v>
      </c>
      <c r="V59" s="17">
        <v>1195</v>
      </c>
      <c r="W59" s="17">
        <v>1195</v>
      </c>
      <c r="X59" s="17">
        <f t="shared" si="14"/>
        <v>1195</v>
      </c>
      <c r="Y59" s="20">
        <f t="shared" si="15"/>
        <v>2.9652605459057071</v>
      </c>
      <c r="Z59" s="17">
        <f t="shared" si="16"/>
        <v>419</v>
      </c>
      <c r="AA59" s="20">
        <f t="shared" si="17"/>
        <v>3.7410714285714284</v>
      </c>
      <c r="AB59" s="21">
        <v>50.5</v>
      </c>
      <c r="AC59" s="22">
        <f t="shared" si="18"/>
        <v>5.281043330000001</v>
      </c>
      <c r="AD59" s="23">
        <v>13.4467</v>
      </c>
      <c r="AE59" s="24">
        <f t="shared" si="19"/>
        <v>1.1642164502164503</v>
      </c>
      <c r="AF59" s="23">
        <v>9.9088700000000002E-2</v>
      </c>
      <c r="AG59" s="23">
        <v>3.20486</v>
      </c>
      <c r="AH59" s="23">
        <v>0.23117799999999999</v>
      </c>
      <c r="AI59" s="25">
        <v>36</v>
      </c>
      <c r="AJ59" s="26">
        <v>2</v>
      </c>
      <c r="AK59" s="26">
        <v>7</v>
      </c>
      <c r="AL59" s="27">
        <v>16.5</v>
      </c>
      <c r="AM59" s="27">
        <v>14.5</v>
      </c>
      <c r="AN59" s="27">
        <f t="shared" si="20"/>
        <v>239.25</v>
      </c>
      <c r="AO59" s="63">
        <f>(AA59/3.64)*100</f>
        <v>102.77668759811615</v>
      </c>
      <c r="AP59" s="63">
        <f>(AE59/1.17)*100</f>
        <v>99.50567950567951</v>
      </c>
      <c r="AQ59" s="63">
        <f>(Y59/2.97)*100</f>
        <v>99.840422421067572</v>
      </c>
      <c r="AR59" s="63">
        <f>(AG59/3.71)*100</f>
        <v>86.384366576819403</v>
      </c>
      <c r="AS59" s="63">
        <f>(AI59/33.6)*100</f>
        <v>107.14285714285714</v>
      </c>
      <c r="AT59" s="63">
        <f t="shared" si="21"/>
        <v>98.693385694433857</v>
      </c>
      <c r="AW59" s="30"/>
      <c r="AX59" s="30"/>
      <c r="AY59" s="29"/>
      <c r="AZ59" s="30"/>
      <c r="BA59" s="30"/>
      <c r="BB59" s="29"/>
      <c r="BC59" s="30"/>
      <c r="BD59" s="30"/>
      <c r="BE59" s="30"/>
      <c r="BF59" s="30"/>
      <c r="BG59" s="30"/>
      <c r="BH59" s="29"/>
      <c r="BI59" s="30"/>
      <c r="BJ59" s="30"/>
      <c r="BK59" s="30"/>
      <c r="BL59" s="29"/>
      <c r="BM59" s="30"/>
      <c r="BN59" s="29"/>
      <c r="BO59" s="30"/>
      <c r="BP59" s="30"/>
      <c r="BQ59" s="30"/>
      <c r="BR59" s="30"/>
      <c r="BS59" s="31"/>
      <c r="BT59" s="30"/>
      <c r="BU59" s="30"/>
    </row>
    <row r="60" spans="1:251" x14ac:dyDescent="0.2">
      <c r="A60" s="81">
        <v>34</v>
      </c>
      <c r="B60" s="11" t="s">
        <v>52</v>
      </c>
      <c r="C60" s="11" t="s">
        <v>174</v>
      </c>
      <c r="D60" s="32" t="s">
        <v>103</v>
      </c>
      <c r="E60" s="12" t="s">
        <v>97</v>
      </c>
      <c r="F60" s="11" t="s">
        <v>59</v>
      </c>
      <c r="G60" s="13">
        <v>42647</v>
      </c>
      <c r="I60" s="13">
        <v>43041</v>
      </c>
      <c r="J60" s="14">
        <v>43152</v>
      </c>
      <c r="K60" s="37">
        <v>106</v>
      </c>
      <c r="L60" s="16">
        <f t="shared" si="12"/>
        <v>505</v>
      </c>
      <c r="M60" s="16">
        <v>890</v>
      </c>
      <c r="N60" s="16">
        <v>940</v>
      </c>
      <c r="O60" s="16">
        <v>962</v>
      </c>
      <c r="P60" s="17">
        <f t="shared" si="13"/>
        <v>951</v>
      </c>
      <c r="U60" s="18">
        <v>1345</v>
      </c>
      <c r="V60" s="17">
        <v>1345</v>
      </c>
      <c r="W60" s="17">
        <v>1355</v>
      </c>
      <c r="X60" s="17">
        <f t="shared" si="14"/>
        <v>1350</v>
      </c>
      <c r="Y60" s="20">
        <f t="shared" si="15"/>
        <v>2.6732673267326734</v>
      </c>
      <c r="Z60" s="17">
        <f t="shared" si="16"/>
        <v>399</v>
      </c>
      <c r="AA60" s="20">
        <f t="shared" si="17"/>
        <v>3.5625</v>
      </c>
      <c r="AB60" s="21">
        <v>54</v>
      </c>
      <c r="AC60" s="22">
        <f t="shared" si="18"/>
        <v>6.074854750000001</v>
      </c>
      <c r="AD60" s="23">
        <v>14.472799999999999</v>
      </c>
      <c r="AE60" s="24">
        <f t="shared" si="19"/>
        <v>1.0760446096654275</v>
      </c>
      <c r="AF60" s="23">
        <v>0.19678300000000001</v>
      </c>
      <c r="AG60" s="23">
        <v>3.3532700000000002</v>
      </c>
      <c r="AH60" s="23">
        <v>0.31850000000000001</v>
      </c>
      <c r="AI60" s="25">
        <v>45</v>
      </c>
      <c r="AJ60" s="26">
        <v>4</v>
      </c>
      <c r="AK60" s="26">
        <v>7</v>
      </c>
      <c r="AL60" s="27">
        <v>15</v>
      </c>
      <c r="AM60" s="27">
        <v>11</v>
      </c>
      <c r="AN60" s="27">
        <f t="shared" si="20"/>
        <v>165</v>
      </c>
      <c r="AO60" s="63">
        <f>(AA60/3.6)*100</f>
        <v>98.958333333333329</v>
      </c>
      <c r="AP60" s="63">
        <f>(AE60/1.1)*100</f>
        <v>97.822237242311587</v>
      </c>
      <c r="AQ60" s="63">
        <f>(Y60/2.74)*100</f>
        <v>97.564500975645004</v>
      </c>
      <c r="AR60" s="63">
        <f>(AG60/3.56)*100</f>
        <v>94.192977528089898</v>
      </c>
      <c r="AS60" s="63">
        <f>(AI60/41.5)*100</f>
        <v>108.43373493975903</v>
      </c>
      <c r="AT60" s="63">
        <f t="shared" si="21"/>
        <v>98.446816643185215</v>
      </c>
      <c r="AW60" s="30"/>
      <c r="AX60" s="30"/>
      <c r="AY60" s="29"/>
      <c r="AZ60" s="30"/>
      <c r="BA60" s="30"/>
      <c r="BB60" s="29"/>
      <c r="BC60" s="30"/>
      <c r="BD60" s="30"/>
      <c r="BE60" s="30"/>
      <c r="BF60" s="30"/>
      <c r="BG60" s="30"/>
      <c r="BH60" s="29"/>
      <c r="BI60" s="30"/>
      <c r="BJ60" s="30"/>
      <c r="BK60" s="30"/>
      <c r="BL60" s="29"/>
      <c r="BM60" s="30"/>
      <c r="BN60" s="29"/>
      <c r="BO60" s="30"/>
      <c r="BP60" s="30"/>
      <c r="BQ60" s="30"/>
      <c r="BR60" s="30"/>
      <c r="BS60" s="31"/>
      <c r="BT60" s="30"/>
      <c r="BU60" s="30"/>
    </row>
    <row r="61" spans="1:251" x14ac:dyDescent="0.2">
      <c r="A61" s="81">
        <v>19</v>
      </c>
      <c r="B61" s="11" t="s">
        <v>63</v>
      </c>
      <c r="C61" s="11" t="s">
        <v>171</v>
      </c>
      <c r="D61" s="32" t="s">
        <v>64</v>
      </c>
      <c r="E61" s="12" t="s">
        <v>57</v>
      </c>
      <c r="F61" s="11" t="s">
        <v>50</v>
      </c>
      <c r="G61" s="13">
        <v>42395</v>
      </c>
      <c r="I61" s="13">
        <v>43041</v>
      </c>
      <c r="J61" s="14">
        <v>43152</v>
      </c>
      <c r="K61" s="15">
        <v>102</v>
      </c>
      <c r="L61" s="16">
        <f t="shared" si="12"/>
        <v>757</v>
      </c>
      <c r="M61" s="16">
        <v>1230</v>
      </c>
      <c r="N61" s="16">
        <v>1265</v>
      </c>
      <c r="O61" s="16">
        <v>1345</v>
      </c>
      <c r="P61" s="17">
        <f t="shared" si="13"/>
        <v>1305</v>
      </c>
      <c r="U61" s="18">
        <v>1865</v>
      </c>
      <c r="V61" s="17">
        <v>1875</v>
      </c>
      <c r="W61" s="17">
        <v>1860</v>
      </c>
      <c r="X61" s="17">
        <f t="shared" si="14"/>
        <v>1867.5</v>
      </c>
      <c r="Y61" s="20">
        <f t="shared" si="15"/>
        <v>2.4669749009247028</v>
      </c>
      <c r="Z61" s="17">
        <f t="shared" si="16"/>
        <v>562.5</v>
      </c>
      <c r="AA61" s="20">
        <f t="shared" si="17"/>
        <v>5.0223214285714288</v>
      </c>
      <c r="AB61" s="21">
        <v>56</v>
      </c>
      <c r="AC61" s="22">
        <f t="shared" si="18"/>
        <v>6.4646568300000027</v>
      </c>
      <c r="AD61" s="23">
        <v>17.443300000000001</v>
      </c>
      <c r="AE61" s="24">
        <f t="shared" si="19"/>
        <v>0.93529758713136735</v>
      </c>
      <c r="AF61" s="23">
        <v>0.395065</v>
      </c>
      <c r="AG61" s="23">
        <v>3.7931499999999998</v>
      </c>
      <c r="AH61" s="23">
        <v>0.51768999999999998</v>
      </c>
      <c r="AI61" s="25">
        <v>43</v>
      </c>
      <c r="AJ61" s="26">
        <v>1</v>
      </c>
      <c r="AK61" s="26">
        <v>8</v>
      </c>
      <c r="AL61" s="27">
        <v>17.5</v>
      </c>
      <c r="AM61" s="27">
        <v>12</v>
      </c>
      <c r="AN61" s="27">
        <f t="shared" si="20"/>
        <v>210</v>
      </c>
      <c r="AO61" s="63">
        <f>(AA61/5.39)*100</f>
        <v>93.178505168301101</v>
      </c>
      <c r="AP61" s="63">
        <f>(AE61/0.93)*100</f>
        <v>100.5696330248782</v>
      </c>
      <c r="AQ61" s="63">
        <f>(Y61/2.59)*100</f>
        <v>95.249996174698964</v>
      </c>
      <c r="AR61" s="63">
        <f>(AG61/3.56)*100</f>
        <v>106.54915730337078</v>
      </c>
      <c r="AS61" s="63">
        <f>(AI61/44.1)*100</f>
        <v>97.505668934240362</v>
      </c>
      <c r="AT61" s="63">
        <f t="shared" si="21"/>
        <v>98.177875744503964</v>
      </c>
      <c r="AU61" s="30"/>
      <c r="AV61" s="30"/>
      <c r="AW61" s="30"/>
      <c r="AX61" s="30"/>
      <c r="AY61" s="29"/>
      <c r="AZ61" s="30"/>
      <c r="BA61" s="30"/>
      <c r="BC61" s="30"/>
      <c r="BD61" s="30"/>
      <c r="BE61" s="30"/>
      <c r="BF61" s="30"/>
      <c r="BG61" s="30"/>
      <c r="BH61" s="29"/>
      <c r="BI61" s="30"/>
      <c r="BJ61" s="30"/>
      <c r="BK61" s="30"/>
      <c r="BL61" s="29"/>
      <c r="BM61" s="30"/>
      <c r="BN61" s="29"/>
      <c r="BO61" s="30"/>
      <c r="BP61" s="30"/>
      <c r="BQ61" s="30"/>
      <c r="BR61" s="30"/>
      <c r="BS61" s="31"/>
      <c r="BT61" s="30"/>
      <c r="BU61" s="30"/>
    </row>
    <row r="62" spans="1:251" x14ac:dyDescent="0.2">
      <c r="A62" s="81">
        <v>90</v>
      </c>
      <c r="B62" s="43" t="s">
        <v>52</v>
      </c>
      <c r="C62" s="11" t="s">
        <v>174</v>
      </c>
      <c r="D62" s="11" t="s">
        <v>155</v>
      </c>
      <c r="E62" s="12" t="s">
        <v>162</v>
      </c>
      <c r="F62" s="11" t="s">
        <v>59</v>
      </c>
      <c r="G62" s="13">
        <v>42640</v>
      </c>
      <c r="I62" s="13">
        <v>43041</v>
      </c>
      <c r="J62" s="14">
        <v>43152</v>
      </c>
      <c r="K62" s="15">
        <v>120</v>
      </c>
      <c r="L62" s="16">
        <f t="shared" si="12"/>
        <v>512</v>
      </c>
      <c r="M62" s="16">
        <v>1100</v>
      </c>
      <c r="N62" s="11">
        <v>1105</v>
      </c>
      <c r="O62" s="16">
        <v>1165</v>
      </c>
      <c r="P62" s="17">
        <f t="shared" si="13"/>
        <v>1135</v>
      </c>
      <c r="U62" s="18">
        <v>1535</v>
      </c>
      <c r="V62" s="15">
        <v>1525</v>
      </c>
      <c r="W62" s="19">
        <v>1530</v>
      </c>
      <c r="X62" s="17">
        <f t="shared" si="14"/>
        <v>1527.5</v>
      </c>
      <c r="Y62" s="20">
        <f t="shared" si="15"/>
        <v>2.9833984375</v>
      </c>
      <c r="Z62" s="17">
        <f t="shared" si="16"/>
        <v>392.5</v>
      </c>
      <c r="AA62" s="20">
        <f t="shared" si="17"/>
        <v>3.5044642857142856</v>
      </c>
      <c r="AB62" s="21">
        <v>54.5</v>
      </c>
      <c r="AC62" s="22">
        <f t="shared" si="18"/>
        <v>6.2762372800000019</v>
      </c>
      <c r="AD62" s="23">
        <v>15.669499999999999</v>
      </c>
      <c r="AE62" s="24">
        <f t="shared" si="19"/>
        <v>1.0208143322475569</v>
      </c>
      <c r="AF62" s="23">
        <v>0.24191599999999999</v>
      </c>
      <c r="AG62" s="23">
        <v>3.2454499999999999</v>
      </c>
      <c r="AH62" s="23">
        <v>0.26884200000000003</v>
      </c>
      <c r="AI62" s="25">
        <v>42</v>
      </c>
      <c r="AJ62" s="26">
        <v>3</v>
      </c>
      <c r="AK62" s="26">
        <v>7</v>
      </c>
      <c r="AL62" s="27">
        <v>15</v>
      </c>
      <c r="AM62" s="27">
        <v>11</v>
      </c>
      <c r="AN62" s="27">
        <f t="shared" si="20"/>
        <v>165</v>
      </c>
      <c r="AO62" s="63">
        <f>(AA62/3.6)*100</f>
        <v>97.346230158730151</v>
      </c>
      <c r="AP62" s="63">
        <f>(AE62/1.1)*100</f>
        <v>92.801302931596069</v>
      </c>
      <c r="AQ62" s="63">
        <f>(Y62/2.74)*100</f>
        <v>108.88315465328466</v>
      </c>
      <c r="AR62" s="63">
        <f>(AG62/3.56)*100</f>
        <v>91.164325842696627</v>
      </c>
      <c r="AS62" s="63">
        <f>(AI62/41.5)*100</f>
        <v>101.20481927710843</v>
      </c>
      <c r="AT62" s="63">
        <f t="shared" si="21"/>
        <v>97.89410766084535</v>
      </c>
      <c r="AU62" s="30"/>
      <c r="AV62" s="30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</row>
    <row r="63" spans="1:251" s="35" customFormat="1" ht="15.75" x14ac:dyDescent="0.25">
      <c r="A63" s="81">
        <v>95</v>
      </c>
      <c r="B63" s="11" t="s">
        <v>46</v>
      </c>
      <c r="C63" s="11" t="s">
        <v>173</v>
      </c>
      <c r="D63" s="32" t="s">
        <v>48</v>
      </c>
      <c r="E63" s="12" t="s">
        <v>178</v>
      </c>
      <c r="F63" s="11" t="s">
        <v>59</v>
      </c>
      <c r="G63" s="13">
        <v>42777</v>
      </c>
      <c r="H63" s="13"/>
      <c r="I63" s="13">
        <v>43041</v>
      </c>
      <c r="J63" s="14">
        <v>43152</v>
      </c>
      <c r="K63" s="15">
        <v>127</v>
      </c>
      <c r="L63" s="16">
        <f t="shared" si="12"/>
        <v>375</v>
      </c>
      <c r="M63" s="16"/>
      <c r="N63" s="16">
        <v>562</v>
      </c>
      <c r="O63" s="16">
        <v>592</v>
      </c>
      <c r="P63" s="17">
        <f t="shared" si="13"/>
        <v>577</v>
      </c>
      <c r="Q63" s="17"/>
      <c r="R63" s="17"/>
      <c r="S63" s="17"/>
      <c r="T63" s="17"/>
      <c r="U63" s="18">
        <v>954</v>
      </c>
      <c r="V63" s="17">
        <v>990</v>
      </c>
      <c r="W63" s="17">
        <v>962</v>
      </c>
      <c r="X63" s="17">
        <f t="shared" si="14"/>
        <v>976</v>
      </c>
      <c r="Y63" s="20">
        <f t="shared" si="15"/>
        <v>2.6026666666666665</v>
      </c>
      <c r="Z63" s="17">
        <f t="shared" si="16"/>
        <v>399</v>
      </c>
      <c r="AA63" s="20">
        <f t="shared" si="17"/>
        <v>3.5625</v>
      </c>
      <c r="AB63" s="21">
        <v>50</v>
      </c>
      <c r="AC63" s="22">
        <f t="shared" si="18"/>
        <v>5.3687187500000002</v>
      </c>
      <c r="AD63" s="23">
        <v>12.135999999999999</v>
      </c>
      <c r="AE63" s="24">
        <f t="shared" si="19"/>
        <v>1.2721174004192872</v>
      </c>
      <c r="AF63" s="23">
        <v>0.16986599999999999</v>
      </c>
      <c r="AG63" s="23">
        <v>3.7670300000000001</v>
      </c>
      <c r="AH63" s="23">
        <v>0.148839</v>
      </c>
      <c r="AI63" s="25">
        <v>29</v>
      </c>
      <c r="AJ63" s="26">
        <v>1</v>
      </c>
      <c r="AK63" s="26">
        <v>6</v>
      </c>
      <c r="AL63" s="27">
        <v>14.5</v>
      </c>
      <c r="AM63" s="27">
        <v>11</v>
      </c>
      <c r="AN63" s="27">
        <f t="shared" si="20"/>
        <v>159.5</v>
      </c>
      <c r="AO63" s="63">
        <f>(AA63/3.64)*100</f>
        <v>97.870879120879124</v>
      </c>
      <c r="AP63" s="63">
        <f>(AE63/1.17)*100</f>
        <v>108.72798294181942</v>
      </c>
      <c r="AQ63" s="63">
        <f>(Y63/2.97)*100</f>
        <v>87.631874298540964</v>
      </c>
      <c r="AR63" s="63">
        <f>(AG63/3.71)*100</f>
        <v>101.53719676549866</v>
      </c>
      <c r="AS63" s="63">
        <f>(AI63/33.6)*100</f>
        <v>86.309523809523796</v>
      </c>
      <c r="AT63" s="63">
        <f t="shared" si="21"/>
        <v>97.571626918387935</v>
      </c>
      <c r="AU63" s="11"/>
      <c r="AV63" s="11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</row>
    <row r="64" spans="1:251" s="44" customFormat="1" x14ac:dyDescent="0.2">
      <c r="A64" s="81">
        <v>52</v>
      </c>
      <c r="B64" s="11" t="s">
        <v>46</v>
      </c>
      <c r="C64" s="11" t="s">
        <v>173</v>
      </c>
      <c r="D64" s="11" t="s">
        <v>117</v>
      </c>
      <c r="E64" s="12" t="s">
        <v>119</v>
      </c>
      <c r="F64" s="11" t="s">
        <v>59</v>
      </c>
      <c r="G64" s="13">
        <v>42759</v>
      </c>
      <c r="H64" s="13"/>
      <c r="I64" s="13">
        <v>43041</v>
      </c>
      <c r="J64" s="14">
        <v>43152</v>
      </c>
      <c r="K64" s="15">
        <v>111</v>
      </c>
      <c r="L64" s="16">
        <f t="shared" si="12"/>
        <v>393</v>
      </c>
      <c r="M64" s="16">
        <v>448</v>
      </c>
      <c r="N64" s="16">
        <v>476</v>
      </c>
      <c r="O64" s="16">
        <v>471</v>
      </c>
      <c r="P64" s="17">
        <f t="shared" si="13"/>
        <v>473.5</v>
      </c>
      <c r="Q64" s="17"/>
      <c r="R64" s="17"/>
      <c r="S64" s="17"/>
      <c r="T64" s="17"/>
      <c r="U64" s="18">
        <v>838</v>
      </c>
      <c r="V64" s="17">
        <v>850</v>
      </c>
      <c r="W64" s="19">
        <v>872</v>
      </c>
      <c r="X64" s="17">
        <f t="shared" si="14"/>
        <v>861</v>
      </c>
      <c r="Y64" s="20">
        <f t="shared" si="15"/>
        <v>2.1908396946564888</v>
      </c>
      <c r="Z64" s="17">
        <f t="shared" si="16"/>
        <v>387.5</v>
      </c>
      <c r="AA64" s="20">
        <f t="shared" si="17"/>
        <v>3.4598214285714284</v>
      </c>
      <c r="AB64" s="21">
        <v>50</v>
      </c>
      <c r="AC64" s="22">
        <f t="shared" si="18"/>
        <v>5.1477320300000002</v>
      </c>
      <c r="AD64" s="23">
        <v>10.283200000000001</v>
      </c>
      <c r="AE64" s="24">
        <f t="shared" si="19"/>
        <v>1.2271121718377089</v>
      </c>
      <c r="AF64" s="23">
        <v>0.117312</v>
      </c>
      <c r="AG64" s="23">
        <v>4.4187200000000004</v>
      </c>
      <c r="AH64" s="23">
        <v>0.17843500000000001</v>
      </c>
      <c r="AI64" s="25">
        <v>31.5</v>
      </c>
      <c r="AJ64" s="26">
        <v>4</v>
      </c>
      <c r="AK64" s="26">
        <v>6</v>
      </c>
      <c r="AL64" s="27">
        <v>14</v>
      </c>
      <c r="AM64" s="27">
        <v>10</v>
      </c>
      <c r="AN64" s="27">
        <f t="shared" si="20"/>
        <v>140</v>
      </c>
      <c r="AO64" s="63">
        <f>(AA64/3.64)*100</f>
        <v>95.050039246467804</v>
      </c>
      <c r="AP64" s="63">
        <f>(AE64/1.17)*100</f>
        <v>104.8813822083512</v>
      </c>
      <c r="AQ64" s="63">
        <f>(Y64/2.97)*100</f>
        <v>73.765646284730252</v>
      </c>
      <c r="AR64" s="63">
        <f>(AG64/3.71)*100</f>
        <v>119.10296495956874</v>
      </c>
      <c r="AS64" s="63">
        <f>(AI64/33.6)*100</f>
        <v>93.75</v>
      </c>
      <c r="AT64" s="63">
        <f t="shared" si="21"/>
        <v>97.44001046447039</v>
      </c>
      <c r="AU64" s="30"/>
      <c r="AV64" s="30"/>
    </row>
    <row r="65" spans="1:251" s="38" customFormat="1" ht="15.75" x14ac:dyDescent="0.25">
      <c r="A65" s="81">
        <v>58</v>
      </c>
      <c r="B65" s="11" t="s">
        <v>52</v>
      </c>
      <c r="C65" s="11" t="s">
        <v>174</v>
      </c>
      <c r="D65" s="11" t="s">
        <v>117</v>
      </c>
      <c r="E65" s="12" t="s">
        <v>125</v>
      </c>
      <c r="F65" s="11" t="s">
        <v>54</v>
      </c>
      <c r="G65" s="13">
        <v>42618</v>
      </c>
      <c r="H65" s="13"/>
      <c r="I65" s="13">
        <v>43041</v>
      </c>
      <c r="J65" s="14">
        <v>43152</v>
      </c>
      <c r="K65" s="15">
        <v>111</v>
      </c>
      <c r="L65" s="16">
        <f t="shared" si="12"/>
        <v>534</v>
      </c>
      <c r="M65" s="16">
        <v>902</v>
      </c>
      <c r="N65" s="16">
        <v>982</v>
      </c>
      <c r="O65" s="16">
        <v>972</v>
      </c>
      <c r="P65" s="17">
        <f t="shared" si="13"/>
        <v>977</v>
      </c>
      <c r="Q65" s="17"/>
      <c r="R65" s="17"/>
      <c r="S65" s="17"/>
      <c r="T65" s="17"/>
      <c r="U65" s="18">
        <v>1285</v>
      </c>
      <c r="V65" s="17">
        <v>1255</v>
      </c>
      <c r="W65" s="19">
        <v>1265</v>
      </c>
      <c r="X65" s="17">
        <f t="shared" si="14"/>
        <v>1260</v>
      </c>
      <c r="Y65" s="20">
        <f t="shared" si="15"/>
        <v>2.3595505617977528</v>
      </c>
      <c r="Z65" s="17">
        <f t="shared" si="16"/>
        <v>283</v>
      </c>
      <c r="AA65" s="20">
        <f t="shared" si="17"/>
        <v>2.5267857142857144</v>
      </c>
      <c r="AB65" s="21">
        <v>54</v>
      </c>
      <c r="AC65" s="22">
        <f t="shared" si="18"/>
        <v>5.8757097200000015</v>
      </c>
      <c r="AD65" s="23">
        <v>14.416499999999999</v>
      </c>
      <c r="AE65" s="24">
        <f t="shared" si="19"/>
        <v>1.1219066147859922</v>
      </c>
      <c r="AF65" s="23">
        <v>0.25404100000000002</v>
      </c>
      <c r="AG65" s="23">
        <v>3.6564299999999998</v>
      </c>
      <c r="AH65" s="23">
        <v>0.46005499999999999</v>
      </c>
      <c r="AI65" s="25">
        <v>39</v>
      </c>
      <c r="AJ65" s="26">
        <v>4</v>
      </c>
      <c r="AK65" s="26">
        <v>7</v>
      </c>
      <c r="AL65" s="27">
        <v>16</v>
      </c>
      <c r="AM65" s="27">
        <v>12</v>
      </c>
      <c r="AN65" s="27">
        <f t="shared" si="20"/>
        <v>192</v>
      </c>
      <c r="AO65" s="63">
        <f>(AA65/2.82)*100</f>
        <v>89.602330293819662</v>
      </c>
      <c r="AP65" s="63">
        <f>(AE65/1.16)*100</f>
        <v>96.716087481551057</v>
      </c>
      <c r="AQ65" s="63">
        <f>(Y65/2.39)*100</f>
        <v>98.725964928776264</v>
      </c>
      <c r="AR65" s="63">
        <f>(AG65/3.5)*100</f>
        <v>104.46942857142855</v>
      </c>
      <c r="AS65" s="63">
        <f>(AI65/37.2)*100</f>
        <v>104.83870967741935</v>
      </c>
      <c r="AT65" s="63">
        <f t="shared" si="21"/>
        <v>97.346866252239025</v>
      </c>
      <c r="AU65" s="30"/>
      <c r="AV65" s="30"/>
    </row>
    <row r="66" spans="1:251" x14ac:dyDescent="0.2">
      <c r="A66" s="81">
        <v>14</v>
      </c>
      <c r="B66" s="11" t="s">
        <v>46</v>
      </c>
      <c r="C66" s="11" t="s">
        <v>173</v>
      </c>
      <c r="D66" s="32" t="s">
        <v>49</v>
      </c>
      <c r="E66" s="12" t="s">
        <v>80</v>
      </c>
      <c r="F66" s="11" t="s">
        <v>50</v>
      </c>
      <c r="G66" s="13">
        <v>42763</v>
      </c>
      <c r="I66" s="13">
        <v>43041</v>
      </c>
      <c r="J66" s="14">
        <v>43152</v>
      </c>
      <c r="K66" s="15">
        <v>101</v>
      </c>
      <c r="L66" s="16">
        <f t="shared" si="12"/>
        <v>389</v>
      </c>
      <c r="M66" s="16">
        <v>582</v>
      </c>
      <c r="N66" s="16">
        <v>616</v>
      </c>
      <c r="O66" s="16">
        <v>604</v>
      </c>
      <c r="P66" s="17">
        <f t="shared" si="13"/>
        <v>610</v>
      </c>
      <c r="U66" s="18">
        <v>974</v>
      </c>
      <c r="V66" s="17">
        <v>988</v>
      </c>
      <c r="W66" s="19">
        <v>988</v>
      </c>
      <c r="X66" s="17">
        <f t="shared" si="14"/>
        <v>988</v>
      </c>
      <c r="Y66" s="20">
        <f t="shared" si="15"/>
        <v>2.5398457583547556</v>
      </c>
      <c r="Z66" s="17">
        <f t="shared" si="16"/>
        <v>378</v>
      </c>
      <c r="AA66" s="20">
        <f t="shared" si="17"/>
        <v>3.375</v>
      </c>
      <c r="AB66" s="21">
        <v>49</v>
      </c>
      <c r="AC66" s="22">
        <f t="shared" si="18"/>
        <v>4.6949572700000015</v>
      </c>
      <c r="AD66" s="23">
        <v>10.279299999999999</v>
      </c>
      <c r="AE66" s="24">
        <f t="shared" si="19"/>
        <v>1.0553696098562628</v>
      </c>
      <c r="AF66" s="23">
        <v>0.27435199999999998</v>
      </c>
      <c r="AG66" s="23">
        <v>3.4856099999999999</v>
      </c>
      <c r="AH66" s="23">
        <v>0.46063100000000001</v>
      </c>
      <c r="AI66" s="25">
        <v>34</v>
      </c>
      <c r="AJ66" s="26">
        <v>2</v>
      </c>
      <c r="AK66" s="26">
        <v>7</v>
      </c>
      <c r="AL66" s="27">
        <v>15</v>
      </c>
      <c r="AM66" s="27">
        <v>11.5</v>
      </c>
      <c r="AN66" s="27">
        <f t="shared" si="20"/>
        <v>172.5</v>
      </c>
      <c r="AO66" s="63">
        <f>(AA66/3.25)*100</f>
        <v>103.84615384615385</v>
      </c>
      <c r="AP66" s="63">
        <f>(AE66/1.16)*100</f>
        <v>90.980138780712309</v>
      </c>
      <c r="AQ66" s="63">
        <f>(Y66/2.79)*100</f>
        <v>91.033898148915966</v>
      </c>
      <c r="AR66" s="63">
        <f>(AG66/3.56)*100</f>
        <v>97.910393258426964</v>
      </c>
      <c r="AS66" s="63">
        <f>(AI66/33.4)*100</f>
        <v>101.79640718562875</v>
      </c>
      <c r="AT66" s="63">
        <f t="shared" si="21"/>
        <v>97.318372910020088</v>
      </c>
      <c r="AU66" s="30"/>
      <c r="AV66" s="30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</row>
    <row r="67" spans="1:251" x14ac:dyDescent="0.2">
      <c r="A67" s="81">
        <v>92</v>
      </c>
      <c r="B67" s="11" t="s">
        <v>52</v>
      </c>
      <c r="C67" s="11" t="s">
        <v>174</v>
      </c>
      <c r="D67" s="45" t="s">
        <v>164</v>
      </c>
      <c r="E67" s="12" t="s">
        <v>166</v>
      </c>
      <c r="F67" s="11" t="s">
        <v>50</v>
      </c>
      <c r="G67" s="13">
        <v>42700</v>
      </c>
      <c r="I67" s="13">
        <v>43041</v>
      </c>
      <c r="J67" s="14">
        <v>43152</v>
      </c>
      <c r="K67" s="15">
        <v>121</v>
      </c>
      <c r="L67" s="16">
        <f t="shared" si="12"/>
        <v>452</v>
      </c>
      <c r="M67" s="16">
        <v>750</v>
      </c>
      <c r="N67" s="16">
        <v>782</v>
      </c>
      <c r="O67" s="16">
        <v>776</v>
      </c>
      <c r="P67" s="17">
        <f t="shared" si="13"/>
        <v>779</v>
      </c>
      <c r="U67" s="18">
        <v>1190</v>
      </c>
      <c r="V67" s="17">
        <v>1200</v>
      </c>
      <c r="W67" s="15">
        <v>1210</v>
      </c>
      <c r="X67" s="17">
        <f t="shared" si="14"/>
        <v>1205</v>
      </c>
      <c r="Y67" s="20">
        <f t="shared" si="15"/>
        <v>2.665929203539823</v>
      </c>
      <c r="Z67" s="17">
        <f t="shared" si="16"/>
        <v>426</v>
      </c>
      <c r="AA67" s="20">
        <f t="shared" si="17"/>
        <v>3.8035714285714284</v>
      </c>
      <c r="AB67" s="21">
        <v>52</v>
      </c>
      <c r="AC67" s="22">
        <f t="shared" si="18"/>
        <v>5.5176324800000014</v>
      </c>
      <c r="AD67" s="23">
        <v>12.658799999999999</v>
      </c>
      <c r="AE67" s="24">
        <f t="shared" si="19"/>
        <v>1.0637647058823529</v>
      </c>
      <c r="AF67" s="23">
        <v>0.446046</v>
      </c>
      <c r="AG67" s="23">
        <v>2.8712399999999998</v>
      </c>
      <c r="AH67" s="23">
        <v>0.44472400000000001</v>
      </c>
      <c r="AI67" s="25">
        <v>42.5</v>
      </c>
      <c r="AJ67" s="26">
        <v>2</v>
      </c>
      <c r="AK67" s="26">
        <v>6</v>
      </c>
      <c r="AL67" s="27">
        <v>15</v>
      </c>
      <c r="AM67" s="27">
        <v>12</v>
      </c>
      <c r="AN67" s="27">
        <f t="shared" si="20"/>
        <v>180</v>
      </c>
      <c r="AO67" s="63">
        <f>(AA67/3.99)*100</f>
        <v>95.327604726100958</v>
      </c>
      <c r="AP67" s="63">
        <f>(AE67/1.07)*100</f>
        <v>99.417262231995593</v>
      </c>
      <c r="AQ67" s="63">
        <f>(Y67/2.67)*100</f>
        <v>99.84753571310199</v>
      </c>
      <c r="AR67" s="63">
        <f>(AG67/3.07)*100</f>
        <v>93.525732899022799</v>
      </c>
      <c r="AS67" s="63">
        <f>(AI67/42)*100</f>
        <v>101.19047619047619</v>
      </c>
      <c r="AT67" s="63">
        <f t="shared" si="21"/>
        <v>97.275435205701996</v>
      </c>
      <c r="AU67" s="30"/>
      <c r="AV67" s="30"/>
    </row>
    <row r="68" spans="1:251" x14ac:dyDescent="0.2">
      <c r="A68" s="81">
        <v>8</v>
      </c>
      <c r="B68" s="11" t="s">
        <v>52</v>
      </c>
      <c r="C68" s="11" t="s">
        <v>174</v>
      </c>
      <c r="D68" s="32" t="s">
        <v>62</v>
      </c>
      <c r="E68" s="12" t="s">
        <v>74</v>
      </c>
      <c r="F68" s="11" t="s">
        <v>51</v>
      </c>
      <c r="G68" s="13">
        <v>42668</v>
      </c>
      <c r="I68" s="13">
        <v>43041</v>
      </c>
      <c r="J68" s="14">
        <v>43152</v>
      </c>
      <c r="K68" s="15">
        <v>100</v>
      </c>
      <c r="L68" s="16">
        <f t="shared" si="12"/>
        <v>484</v>
      </c>
      <c r="M68" s="16">
        <v>762</v>
      </c>
      <c r="N68" s="16">
        <v>724</v>
      </c>
      <c r="O68" s="16">
        <v>736</v>
      </c>
      <c r="P68" s="17">
        <f t="shared" si="13"/>
        <v>730</v>
      </c>
      <c r="U68" s="18">
        <v>1220</v>
      </c>
      <c r="V68" s="17">
        <v>1200</v>
      </c>
      <c r="W68" s="19">
        <v>1200</v>
      </c>
      <c r="X68" s="17">
        <f t="shared" si="14"/>
        <v>1200</v>
      </c>
      <c r="Y68" s="20">
        <f t="shared" si="15"/>
        <v>2.4793388429752068</v>
      </c>
      <c r="Z68" s="17">
        <f t="shared" si="16"/>
        <v>470</v>
      </c>
      <c r="AA68" s="20">
        <f t="shared" si="17"/>
        <v>4.1964285714285712</v>
      </c>
      <c r="AB68" s="21">
        <v>55.5</v>
      </c>
      <c r="AC68" s="22">
        <f t="shared" si="18"/>
        <v>6.9954551200000017</v>
      </c>
      <c r="AD68" s="23">
        <v>13.542999999999999</v>
      </c>
      <c r="AE68" s="24">
        <f t="shared" si="19"/>
        <v>1.1100819672131148</v>
      </c>
      <c r="AF68" s="23">
        <v>0.17022699999999999</v>
      </c>
      <c r="AG68" s="23">
        <v>3.1591999999999998</v>
      </c>
      <c r="AH68" s="23">
        <v>0.195997</v>
      </c>
      <c r="AI68" s="25">
        <v>34</v>
      </c>
      <c r="AJ68" s="26">
        <v>3</v>
      </c>
      <c r="AK68" s="26">
        <v>7</v>
      </c>
      <c r="AL68" s="27">
        <v>15</v>
      </c>
      <c r="AM68" s="27">
        <v>13</v>
      </c>
      <c r="AN68" s="27">
        <f t="shared" si="20"/>
        <v>195</v>
      </c>
      <c r="AO68" s="63">
        <f>(AA68/4.07)*100</f>
        <v>103.1063531063531</v>
      </c>
      <c r="AP68" s="63">
        <f>(AE68/1.08)*100</f>
        <v>102.78536733454766</v>
      </c>
      <c r="AQ68" s="63">
        <f>(Y68/2.61)*100</f>
        <v>94.993825401348914</v>
      </c>
      <c r="AR68" s="63">
        <f>(AG68/3.55)*100</f>
        <v>88.991549295774647</v>
      </c>
      <c r="AS68" s="63">
        <f>(AI68/38.1)*100</f>
        <v>89.238845144356944</v>
      </c>
      <c r="AT68" s="63">
        <f t="shared" si="21"/>
        <v>97.209938852675876</v>
      </c>
      <c r="AU68" s="30"/>
      <c r="AV68" s="30"/>
      <c r="AW68" s="30"/>
      <c r="AX68" s="30"/>
      <c r="AY68" s="29"/>
      <c r="AZ68" s="30"/>
      <c r="BA68" s="30"/>
      <c r="BB68" s="29"/>
      <c r="BC68" s="30"/>
      <c r="BD68" s="30"/>
      <c r="BE68" s="30"/>
      <c r="BF68" s="30"/>
      <c r="BG68" s="30"/>
      <c r="BH68" s="29"/>
      <c r="BI68" s="30"/>
      <c r="BJ68" s="30"/>
      <c r="BK68" s="30"/>
      <c r="BL68" s="29"/>
      <c r="BM68" s="30"/>
      <c r="BN68" s="29"/>
      <c r="BO68" s="30"/>
      <c r="BP68" s="30"/>
      <c r="BQ68" s="30"/>
      <c r="BR68" s="30"/>
      <c r="BS68" s="31"/>
      <c r="BT68" s="30"/>
      <c r="BU68" s="30"/>
    </row>
    <row r="69" spans="1:251" x14ac:dyDescent="0.2">
      <c r="A69" s="81">
        <v>12</v>
      </c>
      <c r="B69" s="11" t="s">
        <v>46</v>
      </c>
      <c r="C69" s="11" t="s">
        <v>173</v>
      </c>
      <c r="D69" s="32" t="s">
        <v>49</v>
      </c>
      <c r="E69" s="12" t="s">
        <v>78</v>
      </c>
      <c r="F69" s="11" t="s">
        <v>50</v>
      </c>
      <c r="G69" s="13">
        <v>42851</v>
      </c>
      <c r="I69" s="13">
        <v>43041</v>
      </c>
      <c r="J69" s="14">
        <v>43152</v>
      </c>
      <c r="K69" s="15">
        <v>101</v>
      </c>
      <c r="L69" s="16">
        <f t="shared" si="12"/>
        <v>301</v>
      </c>
      <c r="M69" s="16">
        <v>536</v>
      </c>
      <c r="N69" s="16">
        <v>546</v>
      </c>
      <c r="O69" s="16">
        <v>544</v>
      </c>
      <c r="P69" s="17">
        <f t="shared" si="13"/>
        <v>545</v>
      </c>
      <c r="U69" s="18">
        <v>848</v>
      </c>
      <c r="V69" s="17">
        <v>850</v>
      </c>
      <c r="W69" s="17">
        <v>866</v>
      </c>
      <c r="X69" s="17">
        <f t="shared" si="14"/>
        <v>858</v>
      </c>
      <c r="Y69" s="20">
        <f t="shared" si="15"/>
        <v>2.8504983388704317</v>
      </c>
      <c r="Z69" s="17">
        <f t="shared" si="16"/>
        <v>313</v>
      </c>
      <c r="AA69" s="20">
        <f t="shared" si="17"/>
        <v>2.7946428571428572</v>
      </c>
      <c r="AB69" s="21">
        <v>49</v>
      </c>
      <c r="AC69" s="22">
        <f t="shared" si="18"/>
        <v>5.9119180700000005</v>
      </c>
      <c r="AD69" s="23">
        <v>10.7858</v>
      </c>
      <c r="AE69" s="24">
        <f t="shared" si="19"/>
        <v>1.2719103773584906</v>
      </c>
      <c r="AF69" s="23">
        <v>0.23153000000000001</v>
      </c>
      <c r="AG69" s="23">
        <v>3.5628099999999998</v>
      </c>
      <c r="AH69" s="23">
        <v>0.27426600000000001</v>
      </c>
      <c r="AI69" s="25">
        <v>30</v>
      </c>
      <c r="AJ69" s="26">
        <v>3</v>
      </c>
      <c r="AK69" s="26">
        <v>6</v>
      </c>
      <c r="AL69" s="27">
        <v>14</v>
      </c>
      <c r="AM69" s="27">
        <v>11.5</v>
      </c>
      <c r="AN69" s="27">
        <f t="shared" si="20"/>
        <v>161</v>
      </c>
      <c r="AO69" s="63">
        <f>(AA69/3.25)*100</f>
        <v>85.989010989010993</v>
      </c>
      <c r="AP69" s="63">
        <f>(AE69/1.16)*100</f>
        <v>109.64744632400783</v>
      </c>
      <c r="AQ69" s="63">
        <f>(Y69/2.79)*100</f>
        <v>102.1683992426678</v>
      </c>
      <c r="AR69" s="63">
        <f>(AG69/3.56)*100</f>
        <v>100.07893258426965</v>
      </c>
      <c r="AS69" s="63">
        <f>(AI69/33.4)*100</f>
        <v>89.820359281437135</v>
      </c>
      <c r="AT69" s="63">
        <f t="shared" si="21"/>
        <v>97.15769485503607</v>
      </c>
      <c r="AU69" s="30"/>
      <c r="AV69" s="30"/>
      <c r="AW69" s="30"/>
      <c r="AX69" s="30"/>
      <c r="AY69" s="29"/>
      <c r="AZ69" s="30"/>
      <c r="BA69" s="30"/>
      <c r="BB69" s="29"/>
      <c r="BC69" s="30"/>
      <c r="BD69" s="30"/>
      <c r="BE69" s="30"/>
      <c r="BF69" s="30"/>
      <c r="BG69" s="30"/>
      <c r="BH69" s="29"/>
      <c r="BI69" s="30"/>
      <c r="BJ69" s="30"/>
      <c r="BK69" s="30"/>
      <c r="BL69" s="29"/>
      <c r="BM69" s="30"/>
      <c r="BN69" s="29"/>
      <c r="BO69" s="30"/>
      <c r="BP69" s="30"/>
      <c r="BQ69" s="30"/>
      <c r="BR69" s="30"/>
      <c r="BS69" s="31"/>
      <c r="BT69" s="30"/>
      <c r="BU69" s="30"/>
    </row>
    <row r="70" spans="1:251" x14ac:dyDescent="0.2">
      <c r="A70" s="81">
        <v>32</v>
      </c>
      <c r="B70" s="11" t="s">
        <v>52</v>
      </c>
      <c r="C70" s="11" t="s">
        <v>174</v>
      </c>
      <c r="D70" s="32" t="s">
        <v>103</v>
      </c>
      <c r="E70" s="33" t="s">
        <v>95</v>
      </c>
      <c r="F70" s="11" t="s">
        <v>54</v>
      </c>
      <c r="G70" s="13">
        <v>42680</v>
      </c>
      <c r="I70" s="13">
        <v>43041</v>
      </c>
      <c r="J70" s="14">
        <v>43152</v>
      </c>
      <c r="K70" s="37">
        <v>106</v>
      </c>
      <c r="L70" s="16">
        <f t="shared" si="12"/>
        <v>472</v>
      </c>
      <c r="M70" s="16">
        <v>690</v>
      </c>
      <c r="N70" s="16">
        <v>758</v>
      </c>
      <c r="O70" s="16">
        <v>780</v>
      </c>
      <c r="P70" s="17">
        <f t="shared" si="13"/>
        <v>769</v>
      </c>
      <c r="U70" s="18">
        <v>1045</v>
      </c>
      <c r="V70" s="17">
        <v>1055</v>
      </c>
      <c r="W70" s="17">
        <v>1055</v>
      </c>
      <c r="X70" s="17">
        <f t="shared" si="14"/>
        <v>1055</v>
      </c>
      <c r="Y70" s="20">
        <f t="shared" si="15"/>
        <v>2.2351694915254239</v>
      </c>
      <c r="Z70" s="17">
        <f t="shared" si="16"/>
        <v>286</v>
      </c>
      <c r="AA70" s="20">
        <f t="shared" si="17"/>
        <v>2.5535714285714284</v>
      </c>
      <c r="AB70" s="21">
        <v>52</v>
      </c>
      <c r="AC70" s="22">
        <f t="shared" si="18"/>
        <v>5.3341740800000021</v>
      </c>
      <c r="AD70" s="23">
        <v>12.227499999999999</v>
      </c>
      <c r="AE70" s="24">
        <f t="shared" si="19"/>
        <v>1.1700956937799041</v>
      </c>
      <c r="AF70" s="23">
        <v>0.29225299999999999</v>
      </c>
      <c r="AG70" s="23">
        <v>3.7443200000000001</v>
      </c>
      <c r="AH70" s="23">
        <v>0.31933099999999998</v>
      </c>
      <c r="AI70" s="25">
        <v>36</v>
      </c>
      <c r="AJ70" s="26">
        <v>3</v>
      </c>
      <c r="AK70" s="26">
        <v>6</v>
      </c>
      <c r="AL70" s="27">
        <v>15</v>
      </c>
      <c r="AM70" s="27">
        <v>11</v>
      </c>
      <c r="AN70" s="27">
        <f t="shared" si="20"/>
        <v>165</v>
      </c>
      <c r="AO70" s="63">
        <f>(AA70/2.82)*100</f>
        <v>90.552178318135773</v>
      </c>
      <c r="AP70" s="63">
        <f>(AE70/1.16)*100</f>
        <v>100.87031842930207</v>
      </c>
      <c r="AQ70" s="63">
        <f>(Y70/2.39)*100</f>
        <v>93.521736047088865</v>
      </c>
      <c r="AR70" s="63">
        <f>(AG70/3.5)*100</f>
        <v>106.98057142857142</v>
      </c>
      <c r="AS70" s="63">
        <f>(AI70/37.2)*100</f>
        <v>96.774193548387089</v>
      </c>
      <c r="AT70" s="63">
        <f t="shared" si="21"/>
        <v>97.117598031271925</v>
      </c>
      <c r="AU70" s="30"/>
      <c r="AV70" s="30"/>
      <c r="AW70" s="30"/>
      <c r="AX70" s="30"/>
      <c r="AY70" s="29"/>
      <c r="AZ70" s="30"/>
      <c r="BA70" s="30"/>
      <c r="BB70" s="29"/>
      <c r="BC70" s="30"/>
      <c r="BD70" s="30"/>
      <c r="BE70" s="30"/>
      <c r="BF70" s="30"/>
      <c r="BG70" s="30"/>
      <c r="BH70" s="29"/>
      <c r="BI70" s="30"/>
      <c r="BJ70" s="30"/>
      <c r="BK70" s="30"/>
      <c r="BL70" s="29"/>
      <c r="BM70" s="30"/>
      <c r="BN70" s="29"/>
      <c r="BO70" s="30"/>
      <c r="BP70" s="30"/>
      <c r="BQ70" s="30"/>
      <c r="BR70" s="30"/>
      <c r="BS70" s="31"/>
      <c r="BT70" s="30"/>
      <c r="BU70" s="30"/>
    </row>
    <row r="71" spans="1:251" s="35" customFormat="1" ht="15.75" x14ac:dyDescent="0.25">
      <c r="A71" s="82">
        <v>47</v>
      </c>
      <c r="B71" s="11" t="s">
        <v>46</v>
      </c>
      <c r="C71" s="11" t="s">
        <v>173</v>
      </c>
      <c r="D71" s="11" t="s">
        <v>110</v>
      </c>
      <c r="E71" s="12" t="s">
        <v>112</v>
      </c>
      <c r="F71" s="11" t="s">
        <v>51</v>
      </c>
      <c r="G71" s="13">
        <v>42834</v>
      </c>
      <c r="H71" s="13"/>
      <c r="I71" s="13">
        <v>43041</v>
      </c>
      <c r="J71" s="14">
        <v>43152</v>
      </c>
      <c r="K71" s="15">
        <v>109</v>
      </c>
      <c r="L71" s="16">
        <f t="shared" si="12"/>
        <v>318</v>
      </c>
      <c r="M71" s="16">
        <v>562</v>
      </c>
      <c r="N71" s="16">
        <v>596</v>
      </c>
      <c r="O71" s="16">
        <v>590</v>
      </c>
      <c r="P71" s="17">
        <f t="shared" si="13"/>
        <v>593</v>
      </c>
      <c r="Q71" s="17"/>
      <c r="R71" s="17"/>
      <c r="S71" s="17"/>
      <c r="T71" s="17"/>
      <c r="U71" s="18">
        <v>952</v>
      </c>
      <c r="V71" s="17">
        <v>976</v>
      </c>
      <c r="W71" s="17">
        <v>978</v>
      </c>
      <c r="X71" s="17">
        <f t="shared" si="14"/>
        <v>977</v>
      </c>
      <c r="Y71" s="20">
        <f t="shared" si="15"/>
        <v>3.0723270440251573</v>
      </c>
      <c r="Z71" s="17">
        <f t="shared" si="16"/>
        <v>384</v>
      </c>
      <c r="AA71" s="20">
        <f t="shared" si="17"/>
        <v>3.4285714285714284</v>
      </c>
      <c r="AB71" s="21">
        <v>52.5</v>
      </c>
      <c r="AC71" s="22">
        <f t="shared" si="18"/>
        <v>7.3977972800000016</v>
      </c>
      <c r="AD71" s="23">
        <v>10.261200000000001</v>
      </c>
      <c r="AE71" s="24">
        <f t="shared" si="19"/>
        <v>1.0778571428571428</v>
      </c>
      <c r="AF71" s="23">
        <v>0.165162</v>
      </c>
      <c r="AG71" s="23">
        <v>3.4405999999999999</v>
      </c>
      <c r="AH71" s="23">
        <v>0.28404499999999999</v>
      </c>
      <c r="AI71" s="25">
        <v>33.5</v>
      </c>
      <c r="AJ71" s="26">
        <v>2</v>
      </c>
      <c r="AK71" s="26">
        <v>6</v>
      </c>
      <c r="AL71" s="27">
        <v>15</v>
      </c>
      <c r="AM71" s="27">
        <v>11</v>
      </c>
      <c r="AN71" s="27">
        <f t="shared" si="20"/>
        <v>165</v>
      </c>
      <c r="AO71" s="63">
        <f>(AA71/3.62)*100</f>
        <v>94.711917916337796</v>
      </c>
      <c r="AP71" s="63">
        <f>(AE71/1.1)*100</f>
        <v>97.987012987012974</v>
      </c>
      <c r="AQ71" s="63">
        <f>(Y71/3.03)*100</f>
        <v>101.39693214604479</v>
      </c>
      <c r="AR71" s="63">
        <f>(AG71/3.56)*100</f>
        <v>96.646067415730329</v>
      </c>
      <c r="AS71" s="63">
        <f>(AI71/35.6)*100</f>
        <v>94.101123595505612</v>
      </c>
      <c r="AT71" s="63">
        <f t="shared" si="21"/>
        <v>97.029690244209519</v>
      </c>
      <c r="AU71" s="11"/>
      <c r="AV71" s="11"/>
      <c r="AW71" s="73"/>
      <c r="AX71" s="73"/>
      <c r="AY71" s="72"/>
      <c r="AZ71" s="73"/>
      <c r="BA71" s="73"/>
      <c r="BB71" s="72"/>
      <c r="BC71" s="73"/>
      <c r="BD71" s="73"/>
      <c r="BE71" s="73"/>
      <c r="BF71" s="73"/>
      <c r="BG71" s="73"/>
      <c r="BH71" s="72"/>
      <c r="BI71" s="73"/>
      <c r="BJ71" s="73"/>
      <c r="BK71" s="73"/>
      <c r="BL71" s="72"/>
      <c r="BM71" s="73"/>
      <c r="BN71" s="72"/>
      <c r="BO71" s="73"/>
      <c r="BP71" s="73"/>
      <c r="BQ71" s="73"/>
      <c r="BR71" s="73"/>
      <c r="BS71" s="74"/>
      <c r="BT71" s="73"/>
      <c r="BU71" s="73"/>
    </row>
    <row r="72" spans="1:251" x14ac:dyDescent="0.2">
      <c r="A72" s="81">
        <v>85</v>
      </c>
      <c r="B72" s="11" t="s">
        <v>46</v>
      </c>
      <c r="C72" s="11" t="s">
        <v>173</v>
      </c>
      <c r="D72" s="11" t="s">
        <v>155</v>
      </c>
      <c r="E72" s="12" t="s">
        <v>157</v>
      </c>
      <c r="F72" s="11" t="s">
        <v>175</v>
      </c>
      <c r="G72" s="13">
        <v>42752</v>
      </c>
      <c r="I72" s="13">
        <v>43041</v>
      </c>
      <c r="J72" s="14">
        <v>43152</v>
      </c>
      <c r="K72" s="15">
        <v>120</v>
      </c>
      <c r="L72" s="16">
        <f t="shared" si="12"/>
        <v>400</v>
      </c>
      <c r="M72" s="16">
        <v>842</v>
      </c>
      <c r="N72" s="16">
        <v>858</v>
      </c>
      <c r="O72" s="16">
        <v>826</v>
      </c>
      <c r="P72" s="17">
        <f t="shared" si="13"/>
        <v>842</v>
      </c>
      <c r="U72" s="18">
        <v>1195</v>
      </c>
      <c r="V72" s="17">
        <v>1195</v>
      </c>
      <c r="W72" s="19">
        <v>1170</v>
      </c>
      <c r="X72" s="17">
        <f t="shared" si="14"/>
        <v>1182.5</v>
      </c>
      <c r="Y72" s="20">
        <f t="shared" si="15"/>
        <v>2.9562499999999998</v>
      </c>
      <c r="Z72" s="17">
        <f t="shared" si="16"/>
        <v>340.5</v>
      </c>
      <c r="AA72" s="20">
        <f t="shared" si="17"/>
        <v>3.0401785714285716</v>
      </c>
      <c r="AB72" s="21">
        <v>52</v>
      </c>
      <c r="AC72" s="22">
        <f t="shared" si="18"/>
        <v>6.0675200000000018</v>
      </c>
      <c r="AD72" s="23">
        <v>13.310700000000001</v>
      </c>
      <c r="AE72" s="24">
        <f t="shared" si="19"/>
        <v>1.1138661087866109</v>
      </c>
      <c r="AF72" s="23">
        <v>0.22533800000000001</v>
      </c>
      <c r="AG72" s="23">
        <v>3.4518800000000001</v>
      </c>
      <c r="AH72" s="23">
        <v>0.33697700000000003</v>
      </c>
      <c r="AI72" s="25">
        <v>40</v>
      </c>
      <c r="AJ72" s="26">
        <v>3</v>
      </c>
      <c r="AK72" s="26">
        <v>6</v>
      </c>
      <c r="AL72" s="27">
        <v>15</v>
      </c>
      <c r="AM72" s="27">
        <v>12</v>
      </c>
      <c r="AN72" s="27">
        <f t="shared" si="20"/>
        <v>180</v>
      </c>
      <c r="AO72" s="63">
        <f>(AA72/3.49)*100</f>
        <v>87.111133851821535</v>
      </c>
      <c r="AP72" s="63">
        <f>(AE72/1.14)*100</f>
        <v>97.707553402334284</v>
      </c>
      <c r="AQ72" s="63">
        <f>(Y72/2.91)*100</f>
        <v>101.58934707903779</v>
      </c>
      <c r="AR72" s="63">
        <f>(AG72/3.63)*100</f>
        <v>95.093112947658412</v>
      </c>
      <c r="AS72" s="63">
        <f>(AI72/34.1)*100</f>
        <v>117.30205278592373</v>
      </c>
      <c r="AT72" s="63">
        <f t="shared" si="21"/>
        <v>96.741548119944952</v>
      </c>
      <c r="AU72" s="30"/>
      <c r="AV72" s="30"/>
      <c r="AW72" s="30"/>
      <c r="AX72" s="30"/>
      <c r="AY72" s="29"/>
      <c r="AZ72" s="30"/>
      <c r="BA72" s="30"/>
      <c r="BB72" s="29"/>
      <c r="BC72" s="30"/>
      <c r="BD72" s="30"/>
      <c r="BE72" s="30"/>
      <c r="BF72" s="30"/>
      <c r="BG72" s="30"/>
      <c r="BH72" s="29"/>
      <c r="BI72" s="30"/>
      <c r="BJ72" s="30"/>
      <c r="BK72" s="30"/>
      <c r="BL72" s="29"/>
      <c r="BM72" s="30"/>
      <c r="BN72" s="29"/>
      <c r="BO72" s="30"/>
      <c r="BP72" s="30"/>
      <c r="BQ72" s="30"/>
      <c r="BR72" s="30"/>
      <c r="BS72" s="31"/>
      <c r="BT72" s="30"/>
      <c r="BU72" s="30"/>
    </row>
    <row r="73" spans="1:251" x14ac:dyDescent="0.2">
      <c r="A73" s="81">
        <v>31</v>
      </c>
      <c r="B73" s="11" t="s">
        <v>52</v>
      </c>
      <c r="C73" s="11" t="s">
        <v>174</v>
      </c>
      <c r="D73" s="32" t="s">
        <v>103</v>
      </c>
      <c r="E73" s="33" t="s">
        <v>94</v>
      </c>
      <c r="F73" s="11" t="s">
        <v>59</v>
      </c>
      <c r="G73" s="13">
        <v>42635</v>
      </c>
      <c r="I73" s="13">
        <v>43041</v>
      </c>
      <c r="J73" s="14">
        <v>43152</v>
      </c>
      <c r="K73" s="37">
        <v>106</v>
      </c>
      <c r="L73" s="16">
        <f t="shared" si="12"/>
        <v>517</v>
      </c>
      <c r="M73" s="16">
        <v>1050</v>
      </c>
      <c r="N73" s="16">
        <v>1115</v>
      </c>
      <c r="O73" s="16">
        <v>1165</v>
      </c>
      <c r="P73" s="17">
        <f t="shared" si="13"/>
        <v>1140</v>
      </c>
      <c r="U73" s="18">
        <v>1460</v>
      </c>
      <c r="V73" s="17">
        <v>1440</v>
      </c>
      <c r="W73" s="17">
        <v>1465</v>
      </c>
      <c r="X73" s="17">
        <f t="shared" si="14"/>
        <v>1452.5</v>
      </c>
      <c r="Y73" s="20">
        <f t="shared" si="15"/>
        <v>2.8094777562862667</v>
      </c>
      <c r="Z73" s="17">
        <f t="shared" si="16"/>
        <v>312.5</v>
      </c>
      <c r="AA73" s="20">
        <f t="shared" si="17"/>
        <v>2.7901785714285716</v>
      </c>
      <c r="AB73" s="21">
        <v>54</v>
      </c>
      <c r="AC73" s="22">
        <f t="shared" si="18"/>
        <v>5.9884780300000005</v>
      </c>
      <c r="AD73" s="23">
        <v>15.389900000000001</v>
      </c>
      <c r="AE73" s="24">
        <f t="shared" si="19"/>
        <v>1.0541027397260274</v>
      </c>
      <c r="AF73" s="23">
        <v>0.29612100000000002</v>
      </c>
      <c r="AG73" s="23">
        <v>4.09985</v>
      </c>
      <c r="AH73" s="23">
        <v>0.30080499999999999</v>
      </c>
      <c r="AI73" s="25">
        <v>44.5</v>
      </c>
      <c r="AJ73" s="26">
        <v>2</v>
      </c>
      <c r="AK73" s="26">
        <v>6</v>
      </c>
      <c r="AL73" s="27">
        <v>16.5</v>
      </c>
      <c r="AM73" s="27">
        <v>14</v>
      </c>
      <c r="AN73" s="27">
        <f t="shared" si="20"/>
        <v>231</v>
      </c>
      <c r="AO73" s="63">
        <f>(AA73/3.6)*100</f>
        <v>77.504960317460331</v>
      </c>
      <c r="AP73" s="63">
        <f>(AE73/1.1)*100</f>
        <v>95.82752179327521</v>
      </c>
      <c r="AQ73" s="63">
        <f>(Y73/2.74)*100</f>
        <v>102.53568453599513</v>
      </c>
      <c r="AR73" s="63">
        <f>(AG73/3.56)*100</f>
        <v>115.16432584269663</v>
      </c>
      <c r="AS73" s="63">
        <f>(AI73/41.5)*100</f>
        <v>107.22891566265061</v>
      </c>
      <c r="AT73" s="63">
        <f t="shared" si="21"/>
        <v>96.679886095896563</v>
      </c>
      <c r="AW73" s="30"/>
      <c r="AX73" s="30"/>
      <c r="AY73" s="29"/>
      <c r="AZ73" s="30"/>
      <c r="BA73" s="30"/>
      <c r="BB73" s="29"/>
      <c r="BC73" s="30"/>
      <c r="BD73" s="30"/>
      <c r="BE73" s="30"/>
      <c r="BF73" s="30"/>
      <c r="BG73" s="30"/>
      <c r="BH73" s="29"/>
      <c r="BI73" s="30"/>
      <c r="BJ73" s="30"/>
      <c r="BK73" s="30"/>
      <c r="BL73" s="29"/>
      <c r="BM73" s="30"/>
      <c r="BN73" s="29"/>
      <c r="BO73" s="30"/>
      <c r="BP73" s="30"/>
      <c r="BQ73" s="30"/>
      <c r="BR73" s="30"/>
      <c r="BS73" s="31"/>
      <c r="BT73" s="30"/>
      <c r="BU73" s="30"/>
    </row>
    <row r="74" spans="1:251" x14ac:dyDescent="0.2">
      <c r="A74" s="81">
        <v>53</v>
      </c>
      <c r="B74" s="11" t="s">
        <v>52</v>
      </c>
      <c r="C74" s="11" t="s">
        <v>174</v>
      </c>
      <c r="D74" s="11" t="s">
        <v>117</v>
      </c>
      <c r="E74" s="12" t="s">
        <v>120</v>
      </c>
      <c r="F74" s="11" t="s">
        <v>59</v>
      </c>
      <c r="G74" s="13">
        <v>42615</v>
      </c>
      <c r="I74" s="13">
        <v>43041</v>
      </c>
      <c r="J74" s="14">
        <v>43152</v>
      </c>
      <c r="K74" s="15">
        <v>111</v>
      </c>
      <c r="L74" s="16">
        <f t="shared" si="12"/>
        <v>537</v>
      </c>
      <c r="M74" s="16">
        <v>740</v>
      </c>
      <c r="N74" s="16">
        <v>798</v>
      </c>
      <c r="O74" s="16">
        <v>830</v>
      </c>
      <c r="P74" s="17">
        <f t="shared" si="13"/>
        <v>814</v>
      </c>
      <c r="U74" s="18">
        <v>1285</v>
      </c>
      <c r="V74" s="17">
        <v>1320</v>
      </c>
      <c r="W74" s="19">
        <v>1255</v>
      </c>
      <c r="X74" s="17">
        <f t="shared" si="14"/>
        <v>1287.5</v>
      </c>
      <c r="Y74" s="20">
        <f t="shared" si="15"/>
        <v>2.3975791433891991</v>
      </c>
      <c r="Z74" s="17">
        <f t="shared" si="16"/>
        <v>473.5</v>
      </c>
      <c r="AA74" s="20">
        <f t="shared" si="17"/>
        <v>4.2276785714285712</v>
      </c>
      <c r="AB74" s="21">
        <v>54</v>
      </c>
      <c r="AC74" s="22">
        <f t="shared" si="18"/>
        <v>5.8569776300000012</v>
      </c>
      <c r="AD74" s="23">
        <v>14.5631</v>
      </c>
      <c r="AE74" s="24">
        <f t="shared" si="19"/>
        <v>1.1333151750972763</v>
      </c>
      <c r="AF74" s="23">
        <v>0.21918299999999999</v>
      </c>
      <c r="AG74" s="23">
        <v>2.5405600000000002</v>
      </c>
      <c r="AH74" s="23">
        <v>0.21357699999999999</v>
      </c>
      <c r="AI74" s="25">
        <v>37.5</v>
      </c>
      <c r="AJ74" s="26">
        <v>3</v>
      </c>
      <c r="AK74" s="26">
        <v>6</v>
      </c>
      <c r="AL74" s="27">
        <v>15</v>
      </c>
      <c r="AM74" s="27">
        <v>11</v>
      </c>
      <c r="AN74" s="27">
        <f t="shared" si="20"/>
        <v>165</v>
      </c>
      <c r="AO74" s="63">
        <f>(AA74/3.6)*100</f>
        <v>117.43551587301586</v>
      </c>
      <c r="AP74" s="63">
        <f>(AE74/1.1)*100</f>
        <v>103.02865228157057</v>
      </c>
      <c r="AQ74" s="63">
        <f>(Y74/2.74)*100</f>
        <v>87.50288844486127</v>
      </c>
      <c r="AR74" s="63">
        <f>(AG74/3.56)*100</f>
        <v>71.364044943820232</v>
      </c>
      <c r="AS74" s="63">
        <f>(AI74/41.5)*100</f>
        <v>90.361445783132538</v>
      </c>
      <c r="AT74" s="63">
        <f t="shared" si="21"/>
        <v>96.645916474268446</v>
      </c>
      <c r="AU74" s="30"/>
      <c r="AV74" s="30"/>
    </row>
    <row r="75" spans="1:251" x14ac:dyDescent="0.2">
      <c r="A75" s="82">
        <v>46</v>
      </c>
      <c r="B75" s="11" t="s">
        <v>46</v>
      </c>
      <c r="C75" s="11" t="s">
        <v>173</v>
      </c>
      <c r="D75" s="11" t="s">
        <v>110</v>
      </c>
      <c r="E75" s="12" t="s">
        <v>111</v>
      </c>
      <c r="F75" s="11" t="s">
        <v>51</v>
      </c>
      <c r="G75" s="13">
        <v>42795</v>
      </c>
      <c r="I75" s="13">
        <v>43041</v>
      </c>
      <c r="J75" s="14">
        <v>43152</v>
      </c>
      <c r="K75" s="15">
        <v>109</v>
      </c>
      <c r="L75" s="16">
        <f t="shared" si="12"/>
        <v>357</v>
      </c>
      <c r="M75" s="16">
        <v>564</v>
      </c>
      <c r="N75" s="16">
        <v>602</v>
      </c>
      <c r="O75" s="16">
        <v>612</v>
      </c>
      <c r="P75" s="17">
        <f t="shared" si="13"/>
        <v>607</v>
      </c>
      <c r="U75" s="18">
        <v>948</v>
      </c>
      <c r="V75" s="17">
        <v>974</v>
      </c>
      <c r="W75" s="17">
        <v>972</v>
      </c>
      <c r="X75" s="17">
        <f t="shared" si="14"/>
        <v>973</v>
      </c>
      <c r="Y75" s="20">
        <f t="shared" si="15"/>
        <v>2.7254901960784315</v>
      </c>
      <c r="Z75" s="17">
        <f t="shared" si="16"/>
        <v>366</v>
      </c>
      <c r="AA75" s="20">
        <f t="shared" si="17"/>
        <v>3.2678571428571428</v>
      </c>
      <c r="AB75" s="21">
        <v>49</v>
      </c>
      <c r="AC75" s="22">
        <f t="shared" si="18"/>
        <v>5.1025982300000017</v>
      </c>
      <c r="AD75" s="23">
        <v>10.0878</v>
      </c>
      <c r="AE75" s="24">
        <f t="shared" si="19"/>
        <v>1.064113924050633</v>
      </c>
      <c r="AF75" s="23">
        <v>0.20757900000000001</v>
      </c>
      <c r="AG75" s="23">
        <v>4.1310000000000002</v>
      </c>
      <c r="AH75" s="23">
        <v>0.336982</v>
      </c>
      <c r="AI75" s="25">
        <v>31.5</v>
      </c>
      <c r="AJ75" s="26">
        <v>2</v>
      </c>
      <c r="AK75" s="26">
        <v>5</v>
      </c>
      <c r="AL75" s="27">
        <v>15</v>
      </c>
      <c r="AM75" s="27">
        <v>10</v>
      </c>
      <c r="AN75" s="27">
        <f t="shared" si="20"/>
        <v>150</v>
      </c>
      <c r="AO75" s="63">
        <f>(AA75/3.62)*100</f>
        <v>90.272296764009468</v>
      </c>
      <c r="AP75" s="63">
        <f>(AE75/1.1)*100</f>
        <v>96.737629459148451</v>
      </c>
      <c r="AQ75" s="63">
        <f>(Y75/3.03)*100</f>
        <v>89.950171487737023</v>
      </c>
      <c r="AR75" s="63">
        <f>(AG75/3.56)*100</f>
        <v>116.03932584269663</v>
      </c>
      <c r="AS75" s="63">
        <f>(AI75/35.6)*100</f>
        <v>88.483146067415731</v>
      </c>
      <c r="AT75" s="63">
        <f t="shared" si="21"/>
        <v>96.475428993860831</v>
      </c>
    </row>
    <row r="76" spans="1:251" x14ac:dyDescent="0.2">
      <c r="A76" s="81">
        <v>61</v>
      </c>
      <c r="B76" s="11" t="s">
        <v>46</v>
      </c>
      <c r="C76" s="11" t="s">
        <v>173</v>
      </c>
      <c r="D76" s="32" t="s">
        <v>61</v>
      </c>
      <c r="E76" s="12" t="s">
        <v>128</v>
      </c>
      <c r="F76" s="11" t="s">
        <v>50</v>
      </c>
      <c r="G76" s="13">
        <v>42870</v>
      </c>
      <c r="I76" s="13">
        <v>43041</v>
      </c>
      <c r="J76" s="14">
        <v>43152</v>
      </c>
      <c r="K76" s="15">
        <v>112</v>
      </c>
      <c r="L76" s="16">
        <f t="shared" si="12"/>
        <v>282</v>
      </c>
      <c r="M76" s="16">
        <v>449</v>
      </c>
      <c r="N76" s="16">
        <v>487</v>
      </c>
      <c r="O76" s="16">
        <v>491</v>
      </c>
      <c r="P76" s="17">
        <f t="shared" si="13"/>
        <v>489</v>
      </c>
      <c r="U76" s="18">
        <v>812</v>
      </c>
      <c r="V76" s="17">
        <v>824</v>
      </c>
      <c r="W76" s="17">
        <v>824</v>
      </c>
      <c r="X76" s="17">
        <f t="shared" si="14"/>
        <v>824</v>
      </c>
      <c r="Y76" s="20">
        <f t="shared" si="15"/>
        <v>2.9219858156028371</v>
      </c>
      <c r="Z76" s="17">
        <f t="shared" si="16"/>
        <v>335</v>
      </c>
      <c r="AA76" s="20">
        <f t="shared" si="17"/>
        <v>2.9910714285714284</v>
      </c>
      <c r="AB76" s="21">
        <v>48</v>
      </c>
      <c r="AC76" s="22">
        <f t="shared" si="18"/>
        <v>5.717034680000002</v>
      </c>
      <c r="AD76" s="23">
        <v>9.5750499999999992</v>
      </c>
      <c r="AE76" s="24">
        <f t="shared" si="19"/>
        <v>1.1791933497536944</v>
      </c>
      <c r="AF76" s="23">
        <v>0.24716299999999999</v>
      </c>
      <c r="AG76" s="23">
        <v>3.2988</v>
      </c>
      <c r="AH76" s="23">
        <v>0.23117799999999999</v>
      </c>
      <c r="AI76" s="25">
        <v>30</v>
      </c>
      <c r="AJ76" s="26">
        <v>2</v>
      </c>
      <c r="AK76" s="26">
        <v>6</v>
      </c>
      <c r="AL76" s="27">
        <v>14</v>
      </c>
      <c r="AM76" s="27">
        <v>11</v>
      </c>
      <c r="AN76" s="27">
        <f t="shared" si="20"/>
        <v>154</v>
      </c>
      <c r="AO76" s="63">
        <f>(AA76/3.25)*100</f>
        <v>92.032967032967022</v>
      </c>
      <c r="AP76" s="63">
        <f>(AE76/1.16)*100</f>
        <v>101.65459911669781</v>
      </c>
      <c r="AQ76" s="63">
        <f>(Y76/2.79)*100</f>
        <v>104.73067439436691</v>
      </c>
      <c r="AR76" s="63">
        <f>(AG76/3.56)*100</f>
        <v>92.662921348314612</v>
      </c>
      <c r="AS76" s="63">
        <f>(AI76/33.4)*100</f>
        <v>89.820359281437135</v>
      </c>
      <c r="AT76" s="63">
        <f t="shared" si="21"/>
        <v>96.401565009909689</v>
      </c>
      <c r="AU76" s="30"/>
      <c r="AV76" s="30"/>
      <c r="AW76" s="30"/>
      <c r="AX76" s="30"/>
      <c r="AY76" s="29"/>
      <c r="AZ76" s="30"/>
      <c r="BA76" s="30"/>
      <c r="BC76" s="30"/>
      <c r="BD76" s="30"/>
      <c r="BE76" s="30"/>
      <c r="BF76" s="30"/>
      <c r="BG76" s="30"/>
      <c r="BH76" s="29"/>
      <c r="BI76" s="30"/>
      <c r="BJ76" s="30"/>
      <c r="BK76" s="30"/>
      <c r="BL76" s="29"/>
      <c r="BM76" s="30"/>
      <c r="BN76" s="29"/>
      <c r="BO76" s="30"/>
      <c r="BP76" s="30"/>
      <c r="BQ76" s="30"/>
      <c r="BR76" s="30"/>
      <c r="BS76" s="31"/>
      <c r="BT76" s="30"/>
      <c r="BU76" s="30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  <c r="GH76" s="32"/>
      <c r="GI76" s="32"/>
      <c r="GJ76" s="32"/>
      <c r="GK76" s="32"/>
      <c r="GL76" s="32"/>
      <c r="GM76" s="32"/>
      <c r="GN76" s="32"/>
      <c r="GO76" s="32"/>
      <c r="GP76" s="32"/>
      <c r="GQ76" s="32"/>
      <c r="GR76" s="32"/>
      <c r="GS76" s="32"/>
      <c r="GT76" s="32"/>
      <c r="GU76" s="32"/>
      <c r="GV76" s="32"/>
      <c r="GW76" s="32"/>
      <c r="GX76" s="32"/>
      <c r="GY76" s="32"/>
      <c r="GZ76" s="32"/>
      <c r="HA76" s="32"/>
      <c r="HB76" s="32"/>
      <c r="HC76" s="32"/>
      <c r="HD76" s="32"/>
      <c r="HE76" s="32"/>
      <c r="HF76" s="32"/>
      <c r="HG76" s="32"/>
      <c r="HH76" s="32"/>
      <c r="HI76" s="32"/>
      <c r="HJ76" s="32"/>
      <c r="HK76" s="32"/>
      <c r="HL76" s="32"/>
      <c r="HM76" s="32"/>
      <c r="HN76" s="32"/>
      <c r="HO76" s="32"/>
      <c r="HP76" s="32"/>
      <c r="HQ76" s="32"/>
      <c r="HR76" s="32"/>
      <c r="HS76" s="32"/>
      <c r="HT76" s="32"/>
      <c r="HU76" s="32"/>
      <c r="HV76" s="32"/>
      <c r="HW76" s="32"/>
      <c r="HX76" s="32"/>
      <c r="HY76" s="32"/>
      <c r="HZ76" s="32"/>
      <c r="IA76" s="32"/>
      <c r="IB76" s="32"/>
      <c r="IC76" s="32"/>
      <c r="ID76" s="32"/>
      <c r="IE76" s="32"/>
      <c r="IF76" s="32"/>
      <c r="IG76" s="32"/>
      <c r="IH76" s="32"/>
      <c r="II76" s="32"/>
      <c r="IJ76" s="32"/>
      <c r="IK76" s="32"/>
      <c r="IL76" s="32"/>
      <c r="IM76" s="32"/>
      <c r="IN76" s="32"/>
      <c r="IO76" s="32"/>
      <c r="IP76" s="32"/>
      <c r="IQ76" s="32"/>
    </row>
    <row r="77" spans="1:251" x14ac:dyDescent="0.2">
      <c r="A77" s="82">
        <v>49</v>
      </c>
      <c r="B77" s="11" t="s">
        <v>52</v>
      </c>
      <c r="C77" s="11" t="s">
        <v>174</v>
      </c>
      <c r="D77" s="11" t="s">
        <v>114</v>
      </c>
      <c r="E77" s="12" t="s">
        <v>115</v>
      </c>
      <c r="F77" s="11" t="s">
        <v>54</v>
      </c>
      <c r="G77" s="13">
        <v>42628</v>
      </c>
      <c r="I77" s="13">
        <v>43041</v>
      </c>
      <c r="J77" s="14">
        <v>43152</v>
      </c>
      <c r="K77" s="15">
        <v>110</v>
      </c>
      <c r="L77" s="16">
        <f t="shared" si="12"/>
        <v>524</v>
      </c>
      <c r="M77" s="16">
        <v>1025</v>
      </c>
      <c r="N77" s="16">
        <v>1010</v>
      </c>
      <c r="O77" s="16">
        <v>1025</v>
      </c>
      <c r="P77" s="17">
        <f t="shared" si="13"/>
        <v>1017.5</v>
      </c>
      <c r="U77" s="18">
        <v>1315</v>
      </c>
      <c r="V77" s="17">
        <v>1290</v>
      </c>
      <c r="W77" s="17">
        <v>1315</v>
      </c>
      <c r="X77" s="17">
        <f t="shared" si="14"/>
        <v>1302.5</v>
      </c>
      <c r="Y77" s="20">
        <f t="shared" si="15"/>
        <v>2.4856870229007635</v>
      </c>
      <c r="Z77" s="17">
        <f t="shared" si="16"/>
        <v>285</v>
      </c>
      <c r="AA77" s="20">
        <f t="shared" si="17"/>
        <v>2.5446428571428572</v>
      </c>
      <c r="AB77" s="21">
        <v>57</v>
      </c>
      <c r="AC77" s="22">
        <f t="shared" si="18"/>
        <v>7.4565859200000002</v>
      </c>
      <c r="AD77" s="23">
        <v>15.370100000000001</v>
      </c>
      <c r="AE77" s="24">
        <f t="shared" si="19"/>
        <v>1.1688288973384031</v>
      </c>
      <c r="AF77" s="23">
        <v>0.283111</v>
      </c>
      <c r="AG77" s="23">
        <v>3.0677300000000001</v>
      </c>
      <c r="AH77" s="23">
        <v>0.343223</v>
      </c>
      <c r="AI77" s="25">
        <v>40</v>
      </c>
      <c r="AJ77" s="26">
        <v>3</v>
      </c>
      <c r="AK77" s="26">
        <v>7</v>
      </c>
      <c r="AL77" s="27">
        <v>16</v>
      </c>
      <c r="AM77" s="27">
        <v>12</v>
      </c>
      <c r="AN77" s="27">
        <f t="shared" si="20"/>
        <v>192</v>
      </c>
      <c r="AO77" s="63">
        <f>(AA77/2.82)*100</f>
        <v>90.235562310030403</v>
      </c>
      <c r="AP77" s="63">
        <f>(AE77/1.16)*100</f>
        <v>100.76111183951753</v>
      </c>
      <c r="AQ77" s="63">
        <f>(Y77/2.39)*100</f>
        <v>104.00364112555496</v>
      </c>
      <c r="AR77" s="63">
        <f>(AG77/3.5)*100</f>
        <v>87.649428571428572</v>
      </c>
      <c r="AS77" s="63">
        <f>(AI77/37.2)*100</f>
        <v>107.5268817204301</v>
      </c>
      <c r="AT77" s="63">
        <f t="shared" si="21"/>
        <v>96.306193172352351</v>
      </c>
      <c r="AW77" s="30"/>
      <c r="AX77" s="30"/>
      <c r="AY77" s="29"/>
      <c r="AZ77" s="30"/>
      <c r="BA77" s="30"/>
      <c r="BC77" s="30"/>
      <c r="BD77" s="30"/>
      <c r="BE77" s="30"/>
      <c r="BF77" s="30"/>
      <c r="BG77" s="30"/>
      <c r="BH77" s="29"/>
      <c r="BI77" s="30"/>
      <c r="BJ77" s="30"/>
      <c r="BK77" s="30"/>
      <c r="BL77" s="29"/>
      <c r="BM77" s="30"/>
      <c r="BN77" s="29"/>
      <c r="BO77" s="30"/>
      <c r="BP77" s="30"/>
      <c r="BQ77" s="30"/>
      <c r="BR77" s="30"/>
      <c r="BS77" s="31"/>
      <c r="BT77" s="30"/>
      <c r="BU77" s="30"/>
    </row>
    <row r="78" spans="1:251" x14ac:dyDescent="0.2">
      <c r="A78" s="82">
        <v>79</v>
      </c>
      <c r="B78" s="11" t="s">
        <v>46</v>
      </c>
      <c r="C78" s="11" t="s">
        <v>173</v>
      </c>
      <c r="D78" s="11" t="s">
        <v>152</v>
      </c>
      <c r="E78" s="12" t="s">
        <v>80</v>
      </c>
      <c r="F78" s="11" t="s">
        <v>54</v>
      </c>
      <c r="G78" s="13">
        <v>42758</v>
      </c>
      <c r="I78" s="13">
        <v>43041</v>
      </c>
      <c r="J78" s="14">
        <v>43152</v>
      </c>
      <c r="K78" s="15">
        <v>118</v>
      </c>
      <c r="L78" s="16">
        <f t="shared" si="12"/>
        <v>394</v>
      </c>
      <c r="M78" s="16">
        <v>457</v>
      </c>
      <c r="N78" s="16">
        <v>554</v>
      </c>
      <c r="O78" s="16">
        <v>546</v>
      </c>
      <c r="P78" s="17">
        <f t="shared" si="13"/>
        <v>550</v>
      </c>
      <c r="U78" s="18">
        <v>898</v>
      </c>
      <c r="V78" s="17">
        <v>882</v>
      </c>
      <c r="W78" s="17">
        <v>884</v>
      </c>
      <c r="X78" s="17">
        <f t="shared" si="14"/>
        <v>883</v>
      </c>
      <c r="Y78" s="20">
        <f t="shared" si="15"/>
        <v>2.2411167512690353</v>
      </c>
      <c r="Z78" s="17">
        <f t="shared" si="16"/>
        <v>333</v>
      </c>
      <c r="AA78" s="20">
        <f t="shared" si="17"/>
        <v>2.9732142857142856</v>
      </c>
      <c r="AB78" s="21">
        <v>51</v>
      </c>
      <c r="AC78" s="22">
        <f t="shared" si="18"/>
        <v>5.6367845200000009</v>
      </c>
      <c r="AD78" s="23">
        <v>9.7431900000000002</v>
      </c>
      <c r="AE78" s="24">
        <f t="shared" si="19"/>
        <v>1.0849877505567929</v>
      </c>
      <c r="AF78" s="23">
        <v>0.14579500000000001</v>
      </c>
      <c r="AG78" s="23">
        <v>4.0181300000000002</v>
      </c>
      <c r="AH78" s="23">
        <v>0.336978</v>
      </c>
      <c r="AI78" s="25">
        <v>29</v>
      </c>
      <c r="AJ78" s="26">
        <v>2</v>
      </c>
      <c r="AK78" s="26">
        <v>5</v>
      </c>
      <c r="AL78" s="27">
        <v>15</v>
      </c>
      <c r="AM78" s="27">
        <v>11</v>
      </c>
      <c r="AN78" s="27">
        <f t="shared" si="20"/>
        <v>165</v>
      </c>
      <c r="AO78" s="63">
        <f>(AA78/3.09)*100</f>
        <v>96.220527045769771</v>
      </c>
      <c r="AP78" s="63">
        <f>(AE78/1.13)*100</f>
        <v>96.016615093521509</v>
      </c>
      <c r="AQ78" s="63">
        <f>(Y78/2.49)*100</f>
        <v>90.004688805985339</v>
      </c>
      <c r="AR78" s="63">
        <f>(AG78/3.93)*100</f>
        <v>102.24249363867686</v>
      </c>
      <c r="AS78" s="63">
        <f>(AI78/30.83)*100</f>
        <v>94.064223159260465</v>
      </c>
      <c r="AT78" s="63">
        <f t="shared" si="21"/>
        <v>95.925339937293714</v>
      </c>
    </row>
    <row r="79" spans="1:251" s="35" customFormat="1" ht="15.75" x14ac:dyDescent="0.25">
      <c r="A79" s="82">
        <v>40</v>
      </c>
      <c r="B79" s="11" t="s">
        <v>46</v>
      </c>
      <c r="C79" s="11" t="s">
        <v>173</v>
      </c>
      <c r="D79" s="32" t="s">
        <v>103</v>
      </c>
      <c r="E79" s="12" t="s">
        <v>102</v>
      </c>
      <c r="F79" s="11" t="s">
        <v>59</v>
      </c>
      <c r="G79" s="13">
        <v>42846</v>
      </c>
      <c r="H79" s="13"/>
      <c r="I79" s="13">
        <v>43041</v>
      </c>
      <c r="J79" s="14">
        <v>43152</v>
      </c>
      <c r="K79" s="37">
        <v>106</v>
      </c>
      <c r="L79" s="16">
        <f t="shared" si="12"/>
        <v>306</v>
      </c>
      <c r="M79" s="16">
        <v>588</v>
      </c>
      <c r="N79" s="16">
        <v>658</v>
      </c>
      <c r="O79" s="16">
        <v>646</v>
      </c>
      <c r="P79" s="17">
        <f t="shared" si="13"/>
        <v>652</v>
      </c>
      <c r="Q79" s="17"/>
      <c r="R79" s="17"/>
      <c r="S79" s="17"/>
      <c r="T79" s="17"/>
      <c r="U79" s="18">
        <v>998</v>
      </c>
      <c r="V79" s="17">
        <v>1010</v>
      </c>
      <c r="W79" s="17">
        <v>1020</v>
      </c>
      <c r="X79" s="17">
        <f t="shared" si="14"/>
        <v>1015</v>
      </c>
      <c r="Y79" s="20">
        <f t="shared" si="15"/>
        <v>3.3169934640522878</v>
      </c>
      <c r="Z79" s="17">
        <f t="shared" si="16"/>
        <v>363</v>
      </c>
      <c r="AA79" s="20">
        <f t="shared" si="17"/>
        <v>3.2410714285714284</v>
      </c>
      <c r="AB79" s="21">
        <v>52</v>
      </c>
      <c r="AC79" s="22">
        <f t="shared" si="18"/>
        <v>7.3287537200000017</v>
      </c>
      <c r="AD79" s="23">
        <v>12.3353</v>
      </c>
      <c r="AE79" s="24">
        <f t="shared" si="19"/>
        <v>1.2360020040080162</v>
      </c>
      <c r="AF79" s="23">
        <v>0.167517</v>
      </c>
      <c r="AG79" s="23">
        <v>2.5761099999999999</v>
      </c>
      <c r="AH79" s="23">
        <v>0.12598500000000001</v>
      </c>
      <c r="AI79" s="25">
        <v>38</v>
      </c>
      <c r="AJ79" s="26">
        <v>3</v>
      </c>
      <c r="AK79" s="26">
        <v>6</v>
      </c>
      <c r="AL79" s="27">
        <v>14</v>
      </c>
      <c r="AM79" s="27">
        <v>10</v>
      </c>
      <c r="AN79" s="27">
        <f t="shared" si="20"/>
        <v>140</v>
      </c>
      <c r="AO79" s="63">
        <f>(AA79/3.64)*100</f>
        <v>89.040423861852418</v>
      </c>
      <c r="AP79" s="63">
        <f>(AE79/1.17)*100</f>
        <v>105.64119692376208</v>
      </c>
      <c r="AQ79" s="63">
        <f>(Y79/2.97)*100</f>
        <v>111.68328161792213</v>
      </c>
      <c r="AR79" s="63">
        <f>(AG79/3.71)*100</f>
        <v>69.436927223719678</v>
      </c>
      <c r="AS79" s="63">
        <f>(AI79/33.6)*100</f>
        <v>113.09523809523809</v>
      </c>
      <c r="AT79" s="63">
        <f t="shared" si="21"/>
        <v>95.373932121160323</v>
      </c>
      <c r="AU79" s="11"/>
      <c r="AV79" s="11"/>
      <c r="AX79" s="56"/>
      <c r="AY79" s="54"/>
      <c r="AZ79" s="56"/>
      <c r="BA79" s="56"/>
      <c r="BB79" s="54"/>
      <c r="BC79" s="54"/>
      <c r="BG79" s="56"/>
      <c r="BH79" s="54"/>
      <c r="BI79" s="56"/>
      <c r="BJ79" s="56"/>
      <c r="BO79" s="56"/>
      <c r="BS79" s="55"/>
      <c r="BT79" s="56"/>
      <c r="BU79" s="56"/>
    </row>
    <row r="80" spans="1:251" x14ac:dyDescent="0.2">
      <c r="A80" s="81">
        <v>24</v>
      </c>
      <c r="B80" s="11" t="s">
        <v>52</v>
      </c>
      <c r="C80" s="11" t="s">
        <v>174</v>
      </c>
      <c r="D80" s="32" t="s">
        <v>88</v>
      </c>
      <c r="E80" s="33">
        <v>1610</v>
      </c>
      <c r="F80" s="11" t="s">
        <v>51</v>
      </c>
      <c r="G80" s="13">
        <v>42671</v>
      </c>
      <c r="I80" s="13">
        <v>43041</v>
      </c>
      <c r="J80" s="14">
        <v>43152</v>
      </c>
      <c r="K80" s="15">
        <v>105</v>
      </c>
      <c r="L80" s="16">
        <f t="shared" ref="L80:L96" si="22">J80-G80</f>
        <v>481</v>
      </c>
      <c r="M80" s="16">
        <v>782</v>
      </c>
      <c r="N80" s="16">
        <v>820</v>
      </c>
      <c r="O80" s="16">
        <v>804</v>
      </c>
      <c r="P80" s="17">
        <f t="shared" ref="P80:P96" si="23">AVERAGE(N80:O80)</f>
        <v>812</v>
      </c>
      <c r="U80" s="18">
        <v>1165</v>
      </c>
      <c r="V80" s="17">
        <v>1180</v>
      </c>
      <c r="W80" s="17">
        <v>1150</v>
      </c>
      <c r="X80" s="17">
        <f t="shared" ref="X80:X96" si="24">(V80+W80)/2</f>
        <v>1165</v>
      </c>
      <c r="Y80" s="20">
        <f t="shared" ref="Y80:Y96" si="25">(X80/L80)</f>
        <v>2.4220374220374219</v>
      </c>
      <c r="Z80" s="17">
        <f t="shared" ref="Z80:Z96" si="26">(X80-P80)</f>
        <v>353</v>
      </c>
      <c r="AA80" s="20">
        <f t="shared" ref="AA80:AA96" si="27">(Z80/112)</f>
        <v>3.1517857142857144</v>
      </c>
      <c r="AB80" s="21">
        <v>55</v>
      </c>
      <c r="AC80" s="22">
        <f t="shared" ref="AC80:AC96" si="28">-11.548+0.4878*(AB80)-0.0289*(L80)+0.00001947*(L80*L80)+0.0000334*(AB80*L80)</f>
        <v>6.7682956700000005</v>
      </c>
      <c r="AD80" s="23">
        <v>12.59</v>
      </c>
      <c r="AE80" s="24">
        <f t="shared" ref="AE80:AE96" si="29">AD80/U80*100</f>
        <v>1.08068669527897</v>
      </c>
      <c r="AF80" s="23">
        <v>0.188</v>
      </c>
      <c r="AG80" s="23">
        <v>4.26</v>
      </c>
      <c r="AH80" s="23">
        <v>0.28299999999999997</v>
      </c>
      <c r="AI80" s="25">
        <v>36</v>
      </c>
      <c r="AJ80" s="26">
        <v>2</v>
      </c>
      <c r="AK80" s="26">
        <v>6</v>
      </c>
      <c r="AL80" s="27">
        <v>16</v>
      </c>
      <c r="AM80" s="27">
        <v>12</v>
      </c>
      <c r="AN80" s="27">
        <f t="shared" ref="AN80:AN96" si="30">(AL80*AM80)</f>
        <v>192</v>
      </c>
      <c r="AO80" s="63">
        <f>(AA80/4.07)*100</f>
        <v>77.439452439452438</v>
      </c>
      <c r="AP80" s="63">
        <f>(AE80/1.08)*100</f>
        <v>100.06358289620093</v>
      </c>
      <c r="AQ80" s="63">
        <f>(Y80/2.61)*100</f>
        <v>92.798368660437632</v>
      </c>
      <c r="AR80" s="63">
        <f>(AG80/3.55)*100</f>
        <v>120</v>
      </c>
      <c r="AS80" s="63">
        <f>(AI80/38.1)*100</f>
        <v>94.488188976377955</v>
      </c>
      <c r="AT80" s="63">
        <f t="shared" ref="AT80:AT96" si="31">(AO80*0.3)+(AP80*0.2)+(AQ80*0.2)+(AR80*0.2)+(AS80*0.1)</f>
        <v>95.253044940801246</v>
      </c>
      <c r="AU80" s="30"/>
      <c r="AV80" s="30"/>
    </row>
    <row r="81" spans="1:251" x14ac:dyDescent="0.2">
      <c r="A81" s="81">
        <v>75</v>
      </c>
      <c r="B81" s="11" t="s">
        <v>46</v>
      </c>
      <c r="C81" s="11" t="s">
        <v>173</v>
      </c>
      <c r="D81" s="32" t="s">
        <v>142</v>
      </c>
      <c r="E81" s="33" t="s">
        <v>146</v>
      </c>
      <c r="F81" s="11" t="s">
        <v>59</v>
      </c>
      <c r="G81" s="13">
        <v>42804</v>
      </c>
      <c r="I81" s="13">
        <v>43041</v>
      </c>
      <c r="J81" s="14">
        <v>43152</v>
      </c>
      <c r="K81" s="15">
        <v>116</v>
      </c>
      <c r="L81" s="16">
        <f t="shared" si="22"/>
        <v>348</v>
      </c>
      <c r="M81" s="16">
        <v>618</v>
      </c>
      <c r="N81" s="11">
        <v>644</v>
      </c>
      <c r="O81" s="16">
        <v>640</v>
      </c>
      <c r="P81" s="17">
        <f t="shared" si="23"/>
        <v>642</v>
      </c>
      <c r="U81" s="18">
        <v>1015</v>
      </c>
      <c r="V81" s="17">
        <v>1035</v>
      </c>
      <c r="W81" s="17">
        <v>1040</v>
      </c>
      <c r="X81" s="17">
        <f t="shared" si="24"/>
        <v>1037.5</v>
      </c>
      <c r="Y81" s="20">
        <f t="shared" si="25"/>
        <v>2.9813218390804597</v>
      </c>
      <c r="Z81" s="17">
        <f t="shared" si="26"/>
        <v>395.5</v>
      </c>
      <c r="AA81" s="20">
        <f t="shared" si="27"/>
        <v>3.53125</v>
      </c>
      <c r="AB81" s="21">
        <v>50.5</v>
      </c>
      <c r="AC81" s="22">
        <f t="shared" si="28"/>
        <v>5.9735664800000006</v>
      </c>
      <c r="AD81" s="23">
        <v>11.0153</v>
      </c>
      <c r="AE81" s="24">
        <f t="shared" si="29"/>
        <v>1.0852512315270937</v>
      </c>
      <c r="AF81" s="23">
        <v>0.17868200000000001</v>
      </c>
      <c r="AG81" s="23">
        <v>3.4393899999999999</v>
      </c>
      <c r="AH81" s="23">
        <v>0.17843500000000001</v>
      </c>
      <c r="AI81" s="25">
        <v>30</v>
      </c>
      <c r="AJ81" s="26">
        <v>3</v>
      </c>
      <c r="AK81" s="26">
        <v>6</v>
      </c>
      <c r="AL81" s="27">
        <v>15</v>
      </c>
      <c r="AM81" s="27">
        <v>12</v>
      </c>
      <c r="AN81" s="27">
        <f t="shared" si="30"/>
        <v>180</v>
      </c>
      <c r="AO81" s="63">
        <f>(AA81/3.64)*100</f>
        <v>97.012362637362642</v>
      </c>
      <c r="AP81" s="63">
        <f>(AE81/1.17)*100</f>
        <v>92.756515515136215</v>
      </c>
      <c r="AQ81" s="63">
        <f>(Y81/2.97)*100</f>
        <v>100.38120670304578</v>
      </c>
      <c r="AR81" s="63">
        <f>(AG81/3.71)*100</f>
        <v>92.705929919137461</v>
      </c>
      <c r="AS81" s="63">
        <f>(AI81/33.6)*100</f>
        <v>89.285714285714278</v>
      </c>
      <c r="AT81" s="63">
        <f t="shared" si="31"/>
        <v>95.201010647244118</v>
      </c>
    </row>
    <row r="82" spans="1:251" x14ac:dyDescent="0.2">
      <c r="A82" s="81">
        <v>17</v>
      </c>
      <c r="B82" s="11" t="s">
        <v>46</v>
      </c>
      <c r="C82" s="11" t="s">
        <v>173</v>
      </c>
      <c r="D82" s="32" t="s">
        <v>49</v>
      </c>
      <c r="E82" s="12" t="s">
        <v>83</v>
      </c>
      <c r="F82" s="11" t="s">
        <v>50</v>
      </c>
      <c r="G82" s="13">
        <v>42853</v>
      </c>
      <c r="I82" s="13">
        <v>43041</v>
      </c>
      <c r="J82" s="14">
        <v>43152</v>
      </c>
      <c r="K82" s="15">
        <v>101</v>
      </c>
      <c r="L82" s="16">
        <f t="shared" si="22"/>
        <v>299</v>
      </c>
      <c r="M82" s="16">
        <v>544</v>
      </c>
      <c r="N82" s="16">
        <v>542</v>
      </c>
      <c r="O82" s="16">
        <v>544</v>
      </c>
      <c r="P82" s="17">
        <f t="shared" si="23"/>
        <v>543</v>
      </c>
      <c r="U82" s="18">
        <v>840</v>
      </c>
      <c r="V82" s="17">
        <v>836</v>
      </c>
      <c r="W82" s="19">
        <v>840</v>
      </c>
      <c r="X82" s="17">
        <f t="shared" si="24"/>
        <v>838</v>
      </c>
      <c r="Y82" s="20">
        <f t="shared" si="25"/>
        <v>2.8026755852842808</v>
      </c>
      <c r="Z82" s="17">
        <f t="shared" si="26"/>
        <v>295</v>
      </c>
      <c r="AA82" s="20">
        <f t="shared" si="27"/>
        <v>2.6339285714285716</v>
      </c>
      <c r="AB82" s="21">
        <v>50</v>
      </c>
      <c r="AC82" s="22">
        <f t="shared" si="28"/>
        <v>6.4408674700000006</v>
      </c>
      <c r="AD82" s="23">
        <v>10.5227</v>
      </c>
      <c r="AE82" s="24">
        <f t="shared" si="29"/>
        <v>1.2527023809523812</v>
      </c>
      <c r="AF82" s="23">
        <v>0.28571400000000002</v>
      </c>
      <c r="AG82" s="23">
        <v>3.6148699999999998</v>
      </c>
      <c r="AH82" s="23">
        <v>0.31933099999999998</v>
      </c>
      <c r="AI82" s="25">
        <v>29</v>
      </c>
      <c r="AJ82" s="26">
        <v>3</v>
      </c>
      <c r="AK82" s="26">
        <v>6</v>
      </c>
      <c r="AL82" s="27">
        <v>15.5</v>
      </c>
      <c r="AM82" s="27">
        <v>12.5</v>
      </c>
      <c r="AN82" s="27">
        <f t="shared" si="30"/>
        <v>193.75</v>
      </c>
      <c r="AO82" s="63">
        <f>(AA82/3.25)*100</f>
        <v>81.043956043956044</v>
      </c>
      <c r="AP82" s="63">
        <f>(AE82/1.16)*100</f>
        <v>107.99158456486045</v>
      </c>
      <c r="AQ82" s="63">
        <f>(Y82/2.79)*100</f>
        <v>100.45432205320002</v>
      </c>
      <c r="AR82" s="63">
        <f>(AG82/3.56)*100</f>
        <v>101.54129213483145</v>
      </c>
      <c r="AS82" s="63">
        <f>(AI82/33.4)*100</f>
        <v>86.826347305389234</v>
      </c>
      <c r="AT82" s="63">
        <f t="shared" si="31"/>
        <v>94.993261294304119</v>
      </c>
      <c r="AU82" s="30"/>
      <c r="AV82" s="30"/>
      <c r="AW82" s="30"/>
      <c r="AX82" s="30"/>
      <c r="AY82" s="29"/>
      <c r="AZ82" s="30"/>
      <c r="BA82" s="30"/>
      <c r="BC82" s="30"/>
      <c r="BD82" s="30"/>
      <c r="BE82" s="30"/>
      <c r="BF82" s="30"/>
      <c r="BG82" s="30"/>
      <c r="BH82" s="29"/>
      <c r="BI82" s="30"/>
      <c r="BJ82" s="30"/>
      <c r="BK82" s="30"/>
      <c r="BL82" s="29"/>
      <c r="BM82" s="30"/>
      <c r="BN82" s="29"/>
      <c r="BO82" s="30"/>
      <c r="BP82" s="30"/>
      <c r="BQ82" s="30"/>
      <c r="BR82" s="30"/>
      <c r="BS82" s="31"/>
      <c r="BT82" s="30"/>
      <c r="BU82" s="30"/>
    </row>
    <row r="83" spans="1:251" x14ac:dyDescent="0.2">
      <c r="A83" s="82">
        <v>72</v>
      </c>
      <c r="B83" s="11" t="s">
        <v>63</v>
      </c>
      <c r="C83" s="11" t="s">
        <v>171</v>
      </c>
      <c r="D83" s="32" t="s">
        <v>142</v>
      </c>
      <c r="E83" s="12" t="s">
        <v>143</v>
      </c>
      <c r="F83" s="11" t="s">
        <v>59</v>
      </c>
      <c r="G83" s="13">
        <v>42464</v>
      </c>
      <c r="I83" s="13">
        <v>43041</v>
      </c>
      <c r="J83" s="14">
        <v>43152</v>
      </c>
      <c r="K83" s="15">
        <v>116</v>
      </c>
      <c r="L83" s="16">
        <f t="shared" si="22"/>
        <v>688</v>
      </c>
      <c r="M83" s="16">
        <v>1145</v>
      </c>
      <c r="N83" s="16">
        <v>1170</v>
      </c>
      <c r="O83" s="16">
        <v>1250</v>
      </c>
      <c r="P83" s="17">
        <f t="shared" si="23"/>
        <v>1210</v>
      </c>
      <c r="U83" s="18">
        <v>1695</v>
      </c>
      <c r="V83" s="15">
        <v>1720</v>
      </c>
      <c r="W83" s="17">
        <v>1690</v>
      </c>
      <c r="X83" s="17">
        <f t="shared" si="24"/>
        <v>1705</v>
      </c>
      <c r="Y83" s="20">
        <f t="shared" si="25"/>
        <v>2.4781976744186047</v>
      </c>
      <c r="Z83" s="17">
        <f t="shared" si="26"/>
        <v>495</v>
      </c>
      <c r="AA83" s="20">
        <f t="shared" si="27"/>
        <v>4.4196428571428568</v>
      </c>
      <c r="AB83" s="21">
        <v>57</v>
      </c>
      <c r="AC83" s="22">
        <f t="shared" si="28"/>
        <v>6.8992220800000013</v>
      </c>
      <c r="AD83" s="23">
        <v>16.308199999999999</v>
      </c>
      <c r="AE83" s="24">
        <f t="shared" si="29"/>
        <v>0.9621356932153392</v>
      </c>
      <c r="AF83" s="23">
        <v>0.283111</v>
      </c>
      <c r="AG83" s="23">
        <v>3.6610999999999998</v>
      </c>
      <c r="AH83" s="23">
        <v>0.23002700000000001</v>
      </c>
      <c r="AI83" s="25">
        <v>39.5</v>
      </c>
      <c r="AJ83" s="26">
        <v>2</v>
      </c>
      <c r="AK83" s="26">
        <v>7</v>
      </c>
      <c r="AL83" s="27">
        <v>16.5</v>
      </c>
      <c r="AM83" s="27">
        <v>12</v>
      </c>
      <c r="AN83" s="27">
        <f t="shared" si="30"/>
        <v>198</v>
      </c>
      <c r="AO83" s="63">
        <f>(AA83/5.2)*100</f>
        <v>84.993131868131854</v>
      </c>
      <c r="AP83" s="63">
        <f>(AE83/0.94)*100</f>
        <v>102.35486098035524</v>
      </c>
      <c r="AQ83" s="63">
        <f>(Y83/2.57)*100</f>
        <v>96.427925074653885</v>
      </c>
      <c r="AR83" s="63">
        <f>(AG83/3.58)*100</f>
        <v>102.26536312849161</v>
      </c>
      <c r="AS83" s="63">
        <f>(AI83/43.2)*100</f>
        <v>91.435185185185176</v>
      </c>
      <c r="AT83" s="63">
        <f t="shared" si="31"/>
        <v>94.851087915658226</v>
      </c>
      <c r="AW83" s="30"/>
      <c r="AX83" s="30"/>
      <c r="AY83" s="29"/>
      <c r="AZ83" s="30"/>
      <c r="BA83" s="30"/>
      <c r="BC83" s="30"/>
      <c r="BD83" s="30"/>
      <c r="BE83" s="30"/>
      <c r="BF83" s="30"/>
      <c r="BG83" s="30"/>
      <c r="BH83" s="29"/>
      <c r="BI83" s="30"/>
      <c r="BJ83" s="30"/>
      <c r="BK83" s="30"/>
      <c r="BL83" s="29"/>
      <c r="BM83" s="30"/>
      <c r="BN83" s="29"/>
      <c r="BO83" s="30"/>
      <c r="BP83" s="30"/>
      <c r="BQ83" s="30"/>
      <c r="BR83" s="30"/>
      <c r="BS83" s="31"/>
      <c r="BT83" s="30"/>
      <c r="BU83" s="30"/>
    </row>
    <row r="84" spans="1:251" x14ac:dyDescent="0.2">
      <c r="A84" s="81">
        <v>93</v>
      </c>
      <c r="B84" s="11" t="s">
        <v>53</v>
      </c>
      <c r="C84" s="11" t="s">
        <v>172</v>
      </c>
      <c r="D84" s="32" t="s">
        <v>48</v>
      </c>
      <c r="E84" s="12" t="s">
        <v>176</v>
      </c>
      <c r="F84" s="11" t="s">
        <v>59</v>
      </c>
      <c r="G84" s="13">
        <v>42493</v>
      </c>
      <c r="I84" s="13">
        <v>43041</v>
      </c>
      <c r="J84" s="14">
        <v>43152</v>
      </c>
      <c r="K84" s="15">
        <v>127</v>
      </c>
      <c r="L84" s="16">
        <f t="shared" si="22"/>
        <v>659</v>
      </c>
      <c r="M84" s="16"/>
      <c r="N84" s="16">
        <v>804</v>
      </c>
      <c r="O84" s="16">
        <v>840</v>
      </c>
      <c r="P84" s="17">
        <f t="shared" si="23"/>
        <v>822</v>
      </c>
      <c r="U84" s="18">
        <v>1230</v>
      </c>
      <c r="V84" s="17">
        <v>1235</v>
      </c>
      <c r="W84" s="17">
        <v>1230</v>
      </c>
      <c r="X84" s="17">
        <f t="shared" si="24"/>
        <v>1232.5</v>
      </c>
      <c r="Y84" s="20">
        <f t="shared" si="25"/>
        <v>1.870257966616085</v>
      </c>
      <c r="Z84" s="17">
        <f t="shared" si="26"/>
        <v>410.5</v>
      </c>
      <c r="AA84" s="20">
        <f t="shared" si="27"/>
        <v>3.6651785714285716</v>
      </c>
      <c r="AB84" s="21">
        <v>55</v>
      </c>
      <c r="AC84" s="22">
        <f t="shared" si="28"/>
        <v>5.9019340700000029</v>
      </c>
      <c r="AD84" s="23">
        <v>15.16</v>
      </c>
      <c r="AE84" s="24">
        <f t="shared" si="29"/>
        <v>1.2325203252032519</v>
      </c>
      <c r="AF84" s="23">
        <v>0.22489600000000001</v>
      </c>
      <c r="AG84" s="23">
        <v>3.3971300000000002</v>
      </c>
      <c r="AH84" s="23">
        <v>0.24779599999999999</v>
      </c>
      <c r="AI84" s="25">
        <v>43</v>
      </c>
      <c r="AJ84" s="26">
        <v>2</v>
      </c>
      <c r="AK84" s="26">
        <v>6</v>
      </c>
      <c r="AL84" s="27">
        <v>15</v>
      </c>
      <c r="AM84" s="27">
        <v>12</v>
      </c>
      <c r="AN84" s="27">
        <f t="shared" si="30"/>
        <v>180</v>
      </c>
      <c r="AO84" s="63">
        <f>(AA84/3.96)*100</f>
        <v>92.555014430014438</v>
      </c>
      <c r="AP84" s="63">
        <f>(AE84/1.09)*100</f>
        <v>113.07525919295888</v>
      </c>
      <c r="AQ84" s="63">
        <f>(Y84/2.35)*100</f>
        <v>79.585445387918512</v>
      </c>
      <c r="AR84" s="63">
        <f>(AG84/3.88)*100</f>
        <v>87.554896907216502</v>
      </c>
      <c r="AS84" s="63">
        <f>(AI84/40.6)*100</f>
        <v>105.91133004926108</v>
      </c>
      <c r="AT84" s="63">
        <f t="shared" si="31"/>
        <v>94.400757631549226</v>
      </c>
      <c r="AU84" s="30"/>
      <c r="AV84" s="30"/>
      <c r="AW84" s="30"/>
      <c r="AX84" s="30"/>
      <c r="AY84" s="29"/>
      <c r="AZ84" s="30"/>
      <c r="BA84" s="30"/>
      <c r="BC84" s="30"/>
      <c r="BD84" s="30"/>
      <c r="BE84" s="30"/>
      <c r="BF84" s="30"/>
      <c r="BG84" s="30"/>
      <c r="BH84" s="29"/>
      <c r="BI84" s="30"/>
      <c r="BJ84" s="30"/>
      <c r="BK84" s="30"/>
      <c r="BL84" s="29"/>
      <c r="BM84" s="30"/>
      <c r="BN84" s="29"/>
      <c r="BO84" s="30"/>
      <c r="BP84" s="30"/>
      <c r="BQ84" s="30"/>
      <c r="BR84" s="30"/>
      <c r="BS84" s="31"/>
      <c r="BT84" s="30"/>
      <c r="BU84" s="30"/>
    </row>
    <row r="85" spans="1:251" x14ac:dyDescent="0.2">
      <c r="A85" s="81">
        <v>22</v>
      </c>
      <c r="B85" s="11" t="s">
        <v>46</v>
      </c>
      <c r="C85" s="11" t="s">
        <v>173</v>
      </c>
      <c r="D85" s="32" t="s">
        <v>84</v>
      </c>
      <c r="E85" s="33" t="s">
        <v>168</v>
      </c>
      <c r="F85" s="11" t="s">
        <v>85</v>
      </c>
      <c r="G85" s="13">
        <v>42750</v>
      </c>
      <c r="I85" s="13">
        <v>43041</v>
      </c>
      <c r="J85" s="14">
        <v>43152</v>
      </c>
      <c r="K85" s="15">
        <v>103</v>
      </c>
      <c r="L85" s="16">
        <f t="shared" si="22"/>
        <v>402</v>
      </c>
      <c r="M85" s="16">
        <v>512</v>
      </c>
      <c r="N85" s="16">
        <v>564</v>
      </c>
      <c r="O85" s="16">
        <v>544</v>
      </c>
      <c r="P85" s="17">
        <f t="shared" si="23"/>
        <v>554</v>
      </c>
      <c r="U85" s="18">
        <v>882</v>
      </c>
      <c r="V85" s="17">
        <v>896</v>
      </c>
      <c r="W85" s="17">
        <v>902</v>
      </c>
      <c r="X85" s="17">
        <f t="shared" si="24"/>
        <v>899</v>
      </c>
      <c r="Y85" s="20">
        <f t="shared" si="25"/>
        <v>2.2363184079601992</v>
      </c>
      <c r="Z85" s="17">
        <f t="shared" si="26"/>
        <v>345</v>
      </c>
      <c r="AA85" s="20">
        <f t="shared" si="27"/>
        <v>3.0803571428571428</v>
      </c>
      <c r="AB85" s="21">
        <v>49</v>
      </c>
      <c r="AC85" s="22">
        <f t="shared" si="28"/>
        <v>4.5407430800000022</v>
      </c>
      <c r="AD85" s="23">
        <v>10.0564</v>
      </c>
      <c r="AE85" s="24">
        <f t="shared" si="29"/>
        <v>1.1401814058956916</v>
      </c>
      <c r="AF85" s="23">
        <v>0.18090800000000001</v>
      </c>
      <c r="AG85" s="23">
        <v>3.8073100000000002</v>
      </c>
      <c r="AH85" s="23">
        <v>0.23458799999999999</v>
      </c>
      <c r="AI85" s="25">
        <v>36.5</v>
      </c>
      <c r="AJ85" s="26">
        <v>1</v>
      </c>
      <c r="AK85" s="26">
        <v>6</v>
      </c>
      <c r="AL85" s="27">
        <v>14</v>
      </c>
      <c r="AM85" s="27">
        <v>10.5</v>
      </c>
      <c r="AN85" s="27">
        <f t="shared" si="30"/>
        <v>147</v>
      </c>
      <c r="AO85" s="63">
        <f>(AA85/3.49)*100</f>
        <v>88.262382316823576</v>
      </c>
      <c r="AP85" s="63">
        <f>(AE85/1.14)*100</f>
        <v>100.0159127978677</v>
      </c>
      <c r="AQ85" s="63">
        <f>(Y85/2.91)*100</f>
        <v>76.849429826810962</v>
      </c>
      <c r="AR85" s="63">
        <f>(AG85/3.63)*100</f>
        <v>104.88457300275482</v>
      </c>
      <c r="AS85" s="63">
        <f>(AI85/34.1)*100</f>
        <v>107.03812316715542</v>
      </c>
      <c r="AT85" s="63">
        <f t="shared" si="31"/>
        <v>93.532510137249318</v>
      </c>
      <c r="AU85" s="30"/>
      <c r="AV85" s="30"/>
    </row>
    <row r="86" spans="1:251" x14ac:dyDescent="0.2">
      <c r="A86" s="81">
        <v>23</v>
      </c>
      <c r="B86" s="11" t="s">
        <v>46</v>
      </c>
      <c r="C86" s="11" t="s">
        <v>173</v>
      </c>
      <c r="D86" s="32" t="s">
        <v>86</v>
      </c>
      <c r="E86" s="12" t="s">
        <v>87</v>
      </c>
      <c r="F86" s="11" t="s">
        <v>51</v>
      </c>
      <c r="G86" s="36">
        <v>42775</v>
      </c>
      <c r="I86" s="13">
        <v>43041</v>
      </c>
      <c r="J86" s="14">
        <v>43152</v>
      </c>
      <c r="K86" s="15">
        <v>104</v>
      </c>
      <c r="L86" s="16">
        <f t="shared" si="22"/>
        <v>377</v>
      </c>
      <c r="M86" s="16">
        <v>606</v>
      </c>
      <c r="N86" s="16">
        <v>636</v>
      </c>
      <c r="O86" s="16">
        <v>658</v>
      </c>
      <c r="P86" s="17">
        <f t="shared" si="23"/>
        <v>647</v>
      </c>
      <c r="U86" s="18">
        <v>1000</v>
      </c>
      <c r="V86" s="17">
        <v>1015</v>
      </c>
      <c r="W86" s="17">
        <v>1015</v>
      </c>
      <c r="X86" s="17">
        <f t="shared" si="24"/>
        <v>1015</v>
      </c>
      <c r="Y86" s="20">
        <f t="shared" si="25"/>
        <v>2.6923076923076925</v>
      </c>
      <c r="Z86" s="17">
        <f t="shared" si="26"/>
        <v>368</v>
      </c>
      <c r="AA86" s="20">
        <f t="shared" si="27"/>
        <v>3.2857142857142856</v>
      </c>
      <c r="AB86" s="21">
        <v>52</v>
      </c>
      <c r="AC86" s="22">
        <f t="shared" si="28"/>
        <v>6.3443252300000026</v>
      </c>
      <c r="AD86" s="23">
        <v>11.7043</v>
      </c>
      <c r="AE86" s="24">
        <f t="shared" si="29"/>
        <v>1.1704299999999999</v>
      </c>
      <c r="AF86" s="23">
        <v>0.15795100000000001</v>
      </c>
      <c r="AG86" s="23">
        <v>3.1943100000000002</v>
      </c>
      <c r="AH86" s="23">
        <v>0.44475300000000001</v>
      </c>
      <c r="AI86" s="25">
        <v>32</v>
      </c>
      <c r="AJ86" s="26">
        <v>3</v>
      </c>
      <c r="AK86" s="26">
        <v>5</v>
      </c>
      <c r="AL86" s="27">
        <v>14</v>
      </c>
      <c r="AM86" s="27">
        <v>10.5</v>
      </c>
      <c r="AN86" s="27">
        <f t="shared" si="30"/>
        <v>147</v>
      </c>
      <c r="AO86" s="63">
        <f>(AA86/3.62)*100</f>
        <v>90.765588003157063</v>
      </c>
      <c r="AP86" s="63">
        <f>(AE86/1.1)*100</f>
        <v>106.40272727272726</v>
      </c>
      <c r="AQ86" s="63">
        <f>(Y86/3.03)*100</f>
        <v>88.855039350088873</v>
      </c>
      <c r="AR86" s="63">
        <f>(AG86/3.56)*100</f>
        <v>89.727808988764053</v>
      </c>
      <c r="AS86" s="63">
        <f>(AI86/35.6)*100</f>
        <v>89.887640449438194</v>
      </c>
      <c r="AT86" s="63">
        <f t="shared" si="31"/>
        <v>93.21555556820698</v>
      </c>
      <c r="AU86" s="30"/>
      <c r="AV86" s="30"/>
      <c r="AW86" s="30"/>
      <c r="AX86" s="30"/>
      <c r="AY86" s="29"/>
      <c r="AZ86" s="30"/>
      <c r="BA86" s="30"/>
      <c r="BC86" s="30"/>
      <c r="BD86" s="30"/>
      <c r="BE86" s="30"/>
      <c r="BF86" s="30"/>
      <c r="BG86" s="30"/>
      <c r="BH86" s="29"/>
      <c r="BI86" s="30"/>
      <c r="BJ86" s="30"/>
      <c r="BK86" s="30"/>
      <c r="BL86" s="29"/>
      <c r="BM86" s="30"/>
      <c r="BN86" s="29"/>
      <c r="BO86" s="30"/>
      <c r="BP86" s="30"/>
      <c r="BQ86" s="30"/>
      <c r="BR86" s="30"/>
      <c r="BS86" s="31"/>
      <c r="BT86" s="30"/>
      <c r="BU86" s="30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  <c r="FZ86" s="32"/>
      <c r="GA86" s="32"/>
      <c r="GB86" s="32"/>
      <c r="GC86" s="32"/>
      <c r="GD86" s="32"/>
      <c r="GE86" s="32"/>
      <c r="GF86" s="32"/>
      <c r="GG86" s="32"/>
      <c r="GH86" s="32"/>
      <c r="GI86" s="32"/>
      <c r="GJ86" s="32"/>
      <c r="GK86" s="32"/>
      <c r="GL86" s="32"/>
      <c r="GM86" s="32"/>
      <c r="GN86" s="32"/>
      <c r="GO86" s="32"/>
      <c r="GP86" s="32"/>
      <c r="GQ86" s="32"/>
      <c r="GR86" s="32"/>
      <c r="GS86" s="32"/>
      <c r="GT86" s="32"/>
      <c r="GU86" s="32"/>
      <c r="GV86" s="32"/>
      <c r="GW86" s="32"/>
      <c r="GX86" s="32"/>
      <c r="GY86" s="32"/>
      <c r="GZ86" s="32"/>
      <c r="HA86" s="32"/>
      <c r="HB86" s="32"/>
      <c r="HC86" s="32"/>
      <c r="HD86" s="32"/>
      <c r="HE86" s="32"/>
      <c r="HF86" s="32"/>
      <c r="HG86" s="32"/>
      <c r="HH86" s="32"/>
      <c r="HI86" s="32"/>
      <c r="HJ86" s="32"/>
      <c r="HK86" s="32"/>
      <c r="HL86" s="32"/>
      <c r="HM86" s="32"/>
      <c r="HN86" s="32"/>
      <c r="HO86" s="32"/>
      <c r="HP86" s="32"/>
      <c r="HQ86" s="32"/>
      <c r="HR86" s="32"/>
      <c r="HS86" s="32"/>
      <c r="HT86" s="32"/>
      <c r="HU86" s="32"/>
      <c r="HV86" s="32"/>
      <c r="HW86" s="32"/>
      <c r="HX86" s="32"/>
      <c r="HY86" s="32"/>
      <c r="HZ86" s="32"/>
      <c r="IA86" s="32"/>
      <c r="IB86" s="32"/>
      <c r="IC86" s="32"/>
      <c r="ID86" s="32"/>
      <c r="IE86" s="32"/>
      <c r="IF86" s="32"/>
      <c r="IG86" s="32"/>
      <c r="IH86" s="32"/>
      <c r="II86" s="32"/>
      <c r="IJ86" s="32"/>
      <c r="IK86" s="32"/>
      <c r="IL86" s="32"/>
      <c r="IM86" s="32"/>
      <c r="IN86" s="32"/>
      <c r="IO86" s="32"/>
      <c r="IP86" s="32"/>
      <c r="IQ86" s="32"/>
    </row>
    <row r="87" spans="1:251" x14ac:dyDescent="0.2">
      <c r="A87" s="81">
        <v>64</v>
      </c>
      <c r="B87" s="11" t="s">
        <v>52</v>
      </c>
      <c r="C87" s="11" t="s">
        <v>174</v>
      </c>
      <c r="D87" s="79" t="s">
        <v>131</v>
      </c>
      <c r="E87" s="12" t="s">
        <v>132</v>
      </c>
      <c r="F87" s="11" t="s">
        <v>59</v>
      </c>
      <c r="G87" s="13">
        <v>42644</v>
      </c>
      <c r="I87" s="13">
        <v>43041</v>
      </c>
      <c r="J87" s="14">
        <v>43152</v>
      </c>
      <c r="K87" s="15">
        <v>113</v>
      </c>
      <c r="L87" s="16">
        <f t="shared" si="22"/>
        <v>508</v>
      </c>
      <c r="M87" s="16">
        <v>906</v>
      </c>
      <c r="N87" s="11">
        <v>896</v>
      </c>
      <c r="O87" s="16">
        <v>912</v>
      </c>
      <c r="P87" s="17">
        <f t="shared" si="23"/>
        <v>904</v>
      </c>
      <c r="U87" s="18">
        <v>1230</v>
      </c>
      <c r="V87" s="15">
        <v>1220</v>
      </c>
      <c r="W87" s="19">
        <v>1225</v>
      </c>
      <c r="X87" s="17">
        <f t="shared" si="24"/>
        <v>1222.5</v>
      </c>
      <c r="Y87" s="20">
        <f t="shared" si="25"/>
        <v>2.4064960629921259</v>
      </c>
      <c r="Z87" s="17">
        <f t="shared" si="26"/>
        <v>318.5</v>
      </c>
      <c r="AA87" s="20">
        <f t="shared" si="27"/>
        <v>2.84375</v>
      </c>
      <c r="AB87" s="21">
        <v>53.5</v>
      </c>
      <c r="AC87" s="22">
        <f t="shared" si="28"/>
        <v>5.8003512800000019</v>
      </c>
      <c r="AD87" s="23">
        <v>14.822900000000001</v>
      </c>
      <c r="AE87" s="24">
        <f t="shared" si="29"/>
        <v>1.2051138211382115</v>
      </c>
      <c r="AF87" s="23">
        <v>0.244917</v>
      </c>
      <c r="AG87" s="23">
        <v>3.55253</v>
      </c>
      <c r="AH87" s="23">
        <v>0.26641399999999998</v>
      </c>
      <c r="AI87" s="25">
        <v>41.5</v>
      </c>
      <c r="AJ87" s="26">
        <v>1</v>
      </c>
      <c r="AK87" s="26">
        <v>6</v>
      </c>
      <c r="AL87" s="27">
        <v>16</v>
      </c>
      <c r="AM87" s="27">
        <v>13</v>
      </c>
      <c r="AN87" s="27">
        <f t="shared" si="30"/>
        <v>208</v>
      </c>
      <c r="AO87" s="63">
        <f>(AA87/3.6)*100</f>
        <v>78.993055555555557</v>
      </c>
      <c r="AP87" s="63">
        <f>(AE87/1.1)*100</f>
        <v>109.55580192165559</v>
      </c>
      <c r="AQ87" s="63">
        <f>(Y87/2.74)*100</f>
        <v>87.828323466865896</v>
      </c>
      <c r="AR87" s="63">
        <f>(AG87/3.56)*100</f>
        <v>99.790168539325848</v>
      </c>
      <c r="AS87" s="63">
        <f>(AI87/41.5)*100</f>
        <v>100</v>
      </c>
      <c r="AT87" s="63">
        <f t="shared" si="31"/>
        <v>93.132775452236132</v>
      </c>
      <c r="AU87" s="30"/>
      <c r="AV87" s="30"/>
    </row>
    <row r="88" spans="1:251" s="35" customFormat="1" ht="15.75" x14ac:dyDescent="0.25">
      <c r="A88" s="82">
        <v>50</v>
      </c>
      <c r="B88" s="11" t="s">
        <v>46</v>
      </c>
      <c r="C88" s="11" t="s">
        <v>173</v>
      </c>
      <c r="D88" s="11" t="s">
        <v>114</v>
      </c>
      <c r="E88" s="12" t="s">
        <v>116</v>
      </c>
      <c r="F88" s="11" t="s">
        <v>59</v>
      </c>
      <c r="G88" s="13">
        <v>42759</v>
      </c>
      <c r="H88" s="13"/>
      <c r="I88" s="13">
        <v>43041</v>
      </c>
      <c r="J88" s="14">
        <v>43152</v>
      </c>
      <c r="K88" s="15">
        <v>110</v>
      </c>
      <c r="L88" s="16">
        <f t="shared" si="22"/>
        <v>393</v>
      </c>
      <c r="M88" s="16">
        <v>798</v>
      </c>
      <c r="N88" s="16">
        <v>840</v>
      </c>
      <c r="O88" s="16">
        <v>876</v>
      </c>
      <c r="P88" s="17">
        <f t="shared" si="23"/>
        <v>858</v>
      </c>
      <c r="Q88" s="17"/>
      <c r="R88" s="17"/>
      <c r="S88" s="17"/>
      <c r="T88" s="17"/>
      <c r="U88" s="18">
        <v>1185</v>
      </c>
      <c r="V88" s="17">
        <v>1190</v>
      </c>
      <c r="W88" s="17">
        <v>1185</v>
      </c>
      <c r="X88" s="17">
        <f t="shared" si="24"/>
        <v>1187.5</v>
      </c>
      <c r="Y88" s="20">
        <f t="shared" si="25"/>
        <v>3.0216284987277353</v>
      </c>
      <c r="Z88" s="17">
        <f t="shared" si="26"/>
        <v>329.5</v>
      </c>
      <c r="AA88" s="20">
        <f t="shared" si="27"/>
        <v>2.9419642857142856</v>
      </c>
      <c r="AB88" s="21">
        <v>53</v>
      </c>
      <c r="AC88" s="22">
        <f t="shared" si="28"/>
        <v>6.6505106300000012</v>
      </c>
      <c r="AD88" s="23">
        <v>13.8927</v>
      </c>
      <c r="AE88" s="24">
        <f t="shared" si="29"/>
        <v>1.1723797468354429</v>
      </c>
      <c r="AF88" s="23">
        <v>0.14155499999999999</v>
      </c>
      <c r="AG88" s="23">
        <v>3.2054900000000002</v>
      </c>
      <c r="AH88" s="23">
        <v>0.22325800000000001</v>
      </c>
      <c r="AI88" s="25">
        <v>37</v>
      </c>
      <c r="AJ88" s="26">
        <v>4</v>
      </c>
      <c r="AK88" s="26">
        <v>6</v>
      </c>
      <c r="AL88" s="27">
        <v>15</v>
      </c>
      <c r="AM88" s="27">
        <v>12</v>
      </c>
      <c r="AN88" s="27">
        <f t="shared" si="30"/>
        <v>180</v>
      </c>
      <c r="AO88" s="63">
        <f>(AA88/3.64)*100</f>
        <v>80.823194662480375</v>
      </c>
      <c r="AP88" s="63">
        <f>(AE88/1.17)*100</f>
        <v>100.20339716542249</v>
      </c>
      <c r="AQ88" s="63">
        <f>(Y88/2.97)*100</f>
        <v>101.73833329049613</v>
      </c>
      <c r="AR88" s="63">
        <f>(AG88/3.71)*100</f>
        <v>86.401347708894889</v>
      </c>
      <c r="AS88" s="63">
        <f>(AI88/33.6)*100</f>
        <v>110.11904761904761</v>
      </c>
      <c r="AT88" s="63">
        <f t="shared" si="31"/>
        <v>92.927478793611584</v>
      </c>
      <c r="AU88" s="11"/>
      <c r="AV88" s="11"/>
      <c r="AX88" s="56"/>
      <c r="AY88" s="54"/>
      <c r="AZ88" s="56"/>
      <c r="BA88" s="56"/>
      <c r="BB88" s="54"/>
      <c r="BC88" s="54"/>
      <c r="BG88" s="56"/>
      <c r="BH88" s="54"/>
      <c r="BI88" s="56"/>
      <c r="BJ88" s="56"/>
      <c r="BO88" s="56"/>
      <c r="BS88" s="55"/>
      <c r="BT88" s="56"/>
      <c r="BU88" s="56"/>
    </row>
    <row r="89" spans="1:251" x14ac:dyDescent="0.2">
      <c r="A89" s="81">
        <v>20</v>
      </c>
      <c r="B89" s="11" t="s">
        <v>63</v>
      </c>
      <c r="C89" s="11" t="s">
        <v>171</v>
      </c>
      <c r="D89" s="32" t="s">
        <v>64</v>
      </c>
      <c r="E89" s="12" t="s">
        <v>58</v>
      </c>
      <c r="F89" s="11" t="s">
        <v>50</v>
      </c>
      <c r="G89" s="13">
        <v>42388</v>
      </c>
      <c r="I89" s="13">
        <v>43041</v>
      </c>
      <c r="J89" s="14">
        <v>43152</v>
      </c>
      <c r="K89" s="15">
        <v>102</v>
      </c>
      <c r="L89" s="16">
        <f t="shared" si="22"/>
        <v>764</v>
      </c>
      <c r="M89" s="16">
        <v>1160</v>
      </c>
      <c r="N89" s="16">
        <v>1240</v>
      </c>
      <c r="O89" s="16">
        <v>1300</v>
      </c>
      <c r="P89" s="17">
        <f t="shared" si="23"/>
        <v>1270</v>
      </c>
      <c r="U89" s="18">
        <v>1785</v>
      </c>
      <c r="V89" s="17">
        <v>1800</v>
      </c>
      <c r="W89" s="19">
        <v>1810</v>
      </c>
      <c r="X89" s="17">
        <f t="shared" si="24"/>
        <v>1805</v>
      </c>
      <c r="Y89" s="20">
        <f t="shared" si="25"/>
        <v>2.3625654450261782</v>
      </c>
      <c r="Z89" s="17">
        <f t="shared" si="26"/>
        <v>535</v>
      </c>
      <c r="AA89" s="20">
        <f t="shared" si="27"/>
        <v>4.7767857142857144</v>
      </c>
      <c r="AB89" s="21">
        <v>56.5</v>
      </c>
      <c r="AC89" s="22">
        <f t="shared" si="28"/>
        <v>6.7394055200000045</v>
      </c>
      <c r="AD89" s="23">
        <v>16.500699999999998</v>
      </c>
      <c r="AE89" s="24">
        <f t="shared" si="29"/>
        <v>0.92440896358543401</v>
      </c>
      <c r="AF89" s="23">
        <v>0.36738399999999999</v>
      </c>
      <c r="AG89" s="23">
        <v>3.27318</v>
      </c>
      <c r="AH89" s="23">
        <v>0.60160999999999998</v>
      </c>
      <c r="AI89" s="25">
        <v>43</v>
      </c>
      <c r="AJ89" s="26">
        <v>2</v>
      </c>
      <c r="AK89" s="26">
        <v>7</v>
      </c>
      <c r="AL89" s="27">
        <v>17</v>
      </c>
      <c r="AM89" s="27">
        <v>13</v>
      </c>
      <c r="AN89" s="27">
        <f t="shared" si="30"/>
        <v>221</v>
      </c>
      <c r="AO89" s="63">
        <f>(AA89/5.39)*100</f>
        <v>88.623111582295266</v>
      </c>
      <c r="AP89" s="63">
        <f>(AE89/0.93)*100</f>
        <v>99.398813288756344</v>
      </c>
      <c r="AQ89" s="63">
        <f>(Y89/2.59)*100</f>
        <v>91.218743051203802</v>
      </c>
      <c r="AR89" s="63">
        <f>(AG89/3.56)*100</f>
        <v>91.943258426966295</v>
      </c>
      <c r="AS89" s="63">
        <f>(AI89/44.1)*100</f>
        <v>97.505668934240362</v>
      </c>
      <c r="AT89" s="63">
        <f t="shared" si="31"/>
        <v>92.8496633214979</v>
      </c>
      <c r="AU89" s="30"/>
      <c r="AV89" s="30"/>
    </row>
    <row r="90" spans="1:251" x14ac:dyDescent="0.2">
      <c r="A90" s="82">
        <v>83</v>
      </c>
      <c r="B90" s="11" t="s">
        <v>52</v>
      </c>
      <c r="C90" s="11" t="s">
        <v>174</v>
      </c>
      <c r="D90" s="11" t="s">
        <v>67</v>
      </c>
      <c r="E90" s="12" t="s">
        <v>170</v>
      </c>
      <c r="F90" s="11" t="s">
        <v>149</v>
      </c>
      <c r="G90" s="13">
        <v>42722</v>
      </c>
      <c r="I90" s="13">
        <v>43041</v>
      </c>
      <c r="J90" s="14">
        <v>43152</v>
      </c>
      <c r="K90" s="15">
        <v>119</v>
      </c>
      <c r="L90" s="16">
        <f t="shared" si="22"/>
        <v>430</v>
      </c>
      <c r="M90" s="16">
        <v>698</v>
      </c>
      <c r="N90" s="16">
        <v>704</v>
      </c>
      <c r="O90" s="16">
        <v>726</v>
      </c>
      <c r="P90" s="17">
        <f t="shared" si="23"/>
        <v>715</v>
      </c>
      <c r="U90" s="18">
        <v>1045</v>
      </c>
      <c r="V90" s="17">
        <v>1075</v>
      </c>
      <c r="W90" s="17">
        <v>1045</v>
      </c>
      <c r="X90" s="17">
        <f t="shared" si="24"/>
        <v>1060</v>
      </c>
      <c r="Y90" s="20">
        <f t="shared" si="25"/>
        <v>2.4651162790697674</v>
      </c>
      <c r="Z90" s="17">
        <f t="shared" si="26"/>
        <v>345</v>
      </c>
      <c r="AA90" s="20">
        <f t="shared" si="27"/>
        <v>3.0803571428571428</v>
      </c>
      <c r="AB90" s="21">
        <v>51</v>
      </c>
      <c r="AC90" s="22">
        <f t="shared" si="28"/>
        <v>5.2352650000000018</v>
      </c>
      <c r="AD90" s="23">
        <v>11.696</v>
      </c>
      <c r="AE90" s="24">
        <f t="shared" si="29"/>
        <v>1.1192344497607654</v>
      </c>
      <c r="AF90" s="23">
        <v>0.121074</v>
      </c>
      <c r="AG90" s="23">
        <v>3.7765900000000001</v>
      </c>
      <c r="AH90" s="23">
        <v>0.14341699999999999</v>
      </c>
      <c r="AI90" s="25">
        <v>35.5</v>
      </c>
      <c r="AJ90" s="26">
        <v>1</v>
      </c>
      <c r="AK90" s="26">
        <v>6</v>
      </c>
      <c r="AL90" s="27">
        <v>14.5</v>
      </c>
      <c r="AM90" s="27">
        <v>11</v>
      </c>
      <c r="AN90" s="27">
        <f t="shared" si="30"/>
        <v>159.5</v>
      </c>
      <c r="AO90" s="63">
        <f>(AA90/3.65)*100</f>
        <v>84.393346379647753</v>
      </c>
      <c r="AP90" s="63">
        <f>(AE90/1.05)*100</f>
        <v>106.59375712007288</v>
      </c>
      <c r="AQ90" s="63">
        <f>(Y90/2.85)*100</f>
        <v>86.495308037535693</v>
      </c>
      <c r="AR90" s="63">
        <f>(AG90/3.97)*100</f>
        <v>95.128211586901756</v>
      </c>
      <c r="AS90" s="63">
        <f>(AI90/40.3)*100</f>
        <v>88.089330024813904</v>
      </c>
      <c r="AT90" s="63">
        <f t="shared" si="31"/>
        <v>91.770392265277806</v>
      </c>
      <c r="AW90" s="30"/>
      <c r="AX90" s="30"/>
      <c r="AY90" s="29"/>
      <c r="AZ90" s="30"/>
      <c r="BA90" s="30"/>
      <c r="BB90" s="29"/>
      <c r="BC90" s="30"/>
      <c r="BD90" s="30"/>
      <c r="BE90" s="30"/>
      <c r="BF90" s="30"/>
      <c r="BG90" s="30"/>
      <c r="BH90" s="29"/>
      <c r="BI90" s="30"/>
      <c r="BJ90" s="30"/>
      <c r="BK90" s="30"/>
      <c r="BL90" s="29"/>
      <c r="BM90" s="30"/>
      <c r="BN90" s="29"/>
      <c r="BO90" s="30"/>
      <c r="BP90" s="30"/>
      <c r="BQ90" s="30"/>
      <c r="BR90" s="30"/>
      <c r="BS90" s="31"/>
      <c r="BT90" s="30"/>
      <c r="BU90" s="30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  <c r="FW90" s="32"/>
      <c r="FX90" s="32"/>
      <c r="FY90" s="32"/>
      <c r="FZ90" s="32"/>
      <c r="GA90" s="32"/>
      <c r="GB90" s="32"/>
      <c r="GC90" s="32"/>
      <c r="GD90" s="32"/>
      <c r="GE90" s="32"/>
      <c r="GF90" s="32"/>
      <c r="GG90" s="32"/>
      <c r="GH90" s="32"/>
      <c r="GI90" s="32"/>
      <c r="GJ90" s="32"/>
      <c r="GK90" s="32"/>
      <c r="GL90" s="32"/>
      <c r="GM90" s="32"/>
      <c r="GN90" s="32"/>
      <c r="GO90" s="32"/>
      <c r="GP90" s="32"/>
      <c r="GQ90" s="32"/>
      <c r="GR90" s="32"/>
      <c r="GS90" s="32"/>
      <c r="GT90" s="32"/>
      <c r="GU90" s="32"/>
      <c r="GV90" s="32"/>
      <c r="GW90" s="32"/>
      <c r="GX90" s="32"/>
      <c r="GY90" s="32"/>
      <c r="GZ90" s="32"/>
      <c r="HA90" s="32"/>
      <c r="HB90" s="32"/>
      <c r="HC90" s="32"/>
      <c r="HD90" s="32"/>
      <c r="HE90" s="32"/>
      <c r="HF90" s="32"/>
      <c r="HG90" s="32"/>
      <c r="HH90" s="32"/>
      <c r="HI90" s="32"/>
      <c r="HJ90" s="32"/>
      <c r="HK90" s="32"/>
      <c r="HL90" s="32"/>
      <c r="HM90" s="32"/>
      <c r="HN90" s="32"/>
      <c r="HO90" s="32"/>
      <c r="HP90" s="32"/>
      <c r="HQ90" s="32"/>
      <c r="HR90" s="32"/>
      <c r="HS90" s="32"/>
      <c r="HT90" s="32"/>
      <c r="HU90" s="32"/>
      <c r="HV90" s="32"/>
      <c r="HW90" s="32"/>
      <c r="HX90" s="32"/>
      <c r="HY90" s="32"/>
      <c r="HZ90" s="32"/>
      <c r="IA90" s="32"/>
      <c r="IB90" s="32"/>
      <c r="IC90" s="32"/>
      <c r="ID90" s="32"/>
      <c r="IE90" s="32"/>
      <c r="IF90" s="32"/>
      <c r="IG90" s="32"/>
      <c r="IH90" s="32"/>
      <c r="II90" s="32"/>
      <c r="IJ90" s="32"/>
      <c r="IK90" s="32"/>
      <c r="IL90" s="32"/>
      <c r="IM90" s="32"/>
      <c r="IN90" s="32"/>
      <c r="IO90" s="32"/>
      <c r="IP90" s="32"/>
      <c r="IQ90" s="32"/>
    </row>
    <row r="91" spans="1:251" x14ac:dyDescent="0.2">
      <c r="A91" s="82">
        <v>51</v>
      </c>
      <c r="B91" s="11" t="s">
        <v>46</v>
      </c>
      <c r="C91" s="11" t="s">
        <v>173</v>
      </c>
      <c r="D91" s="11" t="s">
        <v>117</v>
      </c>
      <c r="E91" s="12" t="s">
        <v>118</v>
      </c>
      <c r="F91" s="11" t="s">
        <v>59</v>
      </c>
      <c r="G91" s="13">
        <v>42759</v>
      </c>
      <c r="I91" s="13">
        <v>43041</v>
      </c>
      <c r="J91" s="14">
        <v>43152</v>
      </c>
      <c r="K91" s="15">
        <v>111</v>
      </c>
      <c r="L91" s="16">
        <f t="shared" si="22"/>
        <v>393</v>
      </c>
      <c r="M91" s="16">
        <v>424</v>
      </c>
      <c r="N91" s="16">
        <v>443</v>
      </c>
      <c r="O91" s="16">
        <v>450</v>
      </c>
      <c r="P91" s="17">
        <f t="shared" si="23"/>
        <v>446.5</v>
      </c>
      <c r="U91" s="18">
        <v>778</v>
      </c>
      <c r="V91" s="17">
        <v>792</v>
      </c>
      <c r="W91" s="17">
        <v>782</v>
      </c>
      <c r="X91" s="17">
        <f t="shared" si="24"/>
        <v>787</v>
      </c>
      <c r="Y91" s="20">
        <f t="shared" si="25"/>
        <v>2.0025445292620865</v>
      </c>
      <c r="Z91" s="17">
        <f t="shared" si="26"/>
        <v>340.5</v>
      </c>
      <c r="AA91" s="20">
        <f t="shared" si="27"/>
        <v>3.0401785714285716</v>
      </c>
      <c r="AB91" s="21">
        <v>47</v>
      </c>
      <c r="AC91" s="22">
        <f t="shared" si="28"/>
        <v>3.644953430000001</v>
      </c>
      <c r="AD91" s="23">
        <v>9.7802799999999994</v>
      </c>
      <c r="AE91" s="24">
        <f t="shared" si="29"/>
        <v>1.2571053984575835</v>
      </c>
      <c r="AF91" s="23">
        <v>0.168628</v>
      </c>
      <c r="AG91" s="23">
        <v>4.0033000000000003</v>
      </c>
      <c r="AH91" s="23">
        <v>0.24779599999999999</v>
      </c>
      <c r="AI91" s="25">
        <v>31</v>
      </c>
      <c r="AJ91" s="26">
        <v>3</v>
      </c>
      <c r="AK91" s="26">
        <v>6</v>
      </c>
      <c r="AL91" s="27">
        <v>13.5</v>
      </c>
      <c r="AM91" s="27">
        <v>10.5</v>
      </c>
      <c r="AN91" s="27">
        <f t="shared" si="30"/>
        <v>141.75</v>
      </c>
      <c r="AO91" s="63">
        <f>(AA91/3.64)*100</f>
        <v>83.521389324960765</v>
      </c>
      <c r="AP91" s="63">
        <f>(AE91/1.17)*100</f>
        <v>107.44490585107552</v>
      </c>
      <c r="AQ91" s="63">
        <f>(Y91/2.97)*100</f>
        <v>67.425741725996176</v>
      </c>
      <c r="AR91" s="63">
        <f>(AG91/3.71)*100</f>
        <v>107.90566037735849</v>
      </c>
      <c r="AS91" s="63">
        <f>(AI91/33.6)*100</f>
        <v>92.261904761904759</v>
      </c>
      <c r="AT91" s="63">
        <f t="shared" si="31"/>
        <v>90.837868864564754</v>
      </c>
      <c r="AW91" s="30"/>
      <c r="AX91" s="30"/>
      <c r="AY91" s="29"/>
      <c r="AZ91" s="30"/>
      <c r="BA91" s="30"/>
      <c r="BC91" s="30"/>
      <c r="BD91" s="30"/>
      <c r="BE91" s="30"/>
      <c r="BF91" s="30"/>
      <c r="BG91" s="30"/>
      <c r="BH91" s="29"/>
      <c r="BI91" s="30"/>
      <c r="BJ91" s="30"/>
      <c r="BK91" s="30"/>
      <c r="BL91" s="29"/>
      <c r="BM91" s="30"/>
      <c r="BN91" s="29"/>
      <c r="BO91" s="30"/>
      <c r="BP91" s="30"/>
      <c r="BQ91" s="30"/>
      <c r="BR91" s="30"/>
      <c r="BS91" s="31"/>
      <c r="BT91" s="30"/>
      <c r="BU91" s="30"/>
    </row>
    <row r="92" spans="1:251" x14ac:dyDescent="0.2">
      <c r="A92" s="81">
        <v>55</v>
      </c>
      <c r="B92" s="11" t="s">
        <v>53</v>
      </c>
      <c r="C92" s="11" t="s">
        <v>172</v>
      </c>
      <c r="D92" s="11" t="s">
        <v>117</v>
      </c>
      <c r="E92" s="12" t="s">
        <v>122</v>
      </c>
      <c r="F92" s="11" t="s">
        <v>59</v>
      </c>
      <c r="G92" s="13">
        <v>42612</v>
      </c>
      <c r="I92" s="13">
        <v>43041</v>
      </c>
      <c r="J92" s="14">
        <v>43152</v>
      </c>
      <c r="K92" s="15">
        <v>111</v>
      </c>
      <c r="L92" s="16">
        <f t="shared" si="22"/>
        <v>540</v>
      </c>
      <c r="M92" s="16">
        <v>760</v>
      </c>
      <c r="N92" s="16">
        <v>800</v>
      </c>
      <c r="O92" s="16">
        <v>844</v>
      </c>
      <c r="P92" s="17">
        <f t="shared" si="23"/>
        <v>822</v>
      </c>
      <c r="U92" s="18">
        <v>1160</v>
      </c>
      <c r="V92" s="17">
        <v>1185</v>
      </c>
      <c r="W92" s="19">
        <v>1190</v>
      </c>
      <c r="X92" s="17">
        <f t="shared" si="24"/>
        <v>1187.5</v>
      </c>
      <c r="Y92" s="20">
        <f t="shared" si="25"/>
        <v>2.199074074074074</v>
      </c>
      <c r="Z92" s="17">
        <f t="shared" si="26"/>
        <v>365.5</v>
      </c>
      <c r="AA92" s="20">
        <f t="shared" si="27"/>
        <v>3.2633928571428572</v>
      </c>
      <c r="AB92" s="21">
        <v>53</v>
      </c>
      <c r="AC92" s="22">
        <f t="shared" si="28"/>
        <v>5.3327600000000013</v>
      </c>
      <c r="AD92" s="23">
        <v>12.4237</v>
      </c>
      <c r="AE92" s="24">
        <f t="shared" si="29"/>
        <v>1.0710086206896552</v>
      </c>
      <c r="AF92" s="23">
        <v>0.198245</v>
      </c>
      <c r="AG92" s="23">
        <v>3.6105399999999999</v>
      </c>
      <c r="AH92" s="23">
        <v>0.321745</v>
      </c>
      <c r="AI92" s="25">
        <v>35.5</v>
      </c>
      <c r="AJ92" s="26">
        <v>2</v>
      </c>
      <c r="AK92" s="26">
        <v>6</v>
      </c>
      <c r="AL92" s="27">
        <v>14.5</v>
      </c>
      <c r="AM92" s="27">
        <v>12</v>
      </c>
      <c r="AN92" s="27">
        <f t="shared" si="30"/>
        <v>174</v>
      </c>
      <c r="AO92" s="63">
        <f>(AA92/3.96)*100</f>
        <v>82.408910533910543</v>
      </c>
      <c r="AP92" s="63">
        <f>(AE92/1.09)*100</f>
        <v>98.257671622904141</v>
      </c>
      <c r="AQ92" s="63">
        <f>(Y92/2.35)*100</f>
        <v>93.577620173364849</v>
      </c>
      <c r="AR92" s="63">
        <f>(AG92/3.88)*100</f>
        <v>93.055154639175257</v>
      </c>
      <c r="AS92" s="63">
        <f>(AI92/40.6)*100</f>
        <v>87.438423645320199</v>
      </c>
      <c r="AT92" s="63">
        <f t="shared" si="31"/>
        <v>90.444604811794022</v>
      </c>
      <c r="AU92" s="30"/>
      <c r="AV92" s="30"/>
      <c r="AW92" s="30"/>
      <c r="AX92" s="30"/>
      <c r="AY92" s="29"/>
      <c r="AZ92" s="30"/>
      <c r="BA92" s="30"/>
      <c r="BC92" s="30"/>
      <c r="BD92" s="30"/>
      <c r="BE92" s="30"/>
      <c r="BF92" s="30"/>
      <c r="BG92" s="30"/>
      <c r="BH92" s="29"/>
      <c r="BI92" s="30"/>
      <c r="BJ92" s="30"/>
      <c r="BK92" s="30"/>
      <c r="BL92" s="29"/>
      <c r="BM92" s="30"/>
      <c r="BN92" s="29"/>
      <c r="BO92" s="30"/>
      <c r="BP92" s="30"/>
      <c r="BQ92" s="30"/>
      <c r="BR92" s="30"/>
      <c r="BS92" s="31"/>
      <c r="BT92" s="30"/>
      <c r="BU92" s="30"/>
    </row>
    <row r="93" spans="1:251" x14ac:dyDescent="0.2">
      <c r="A93" s="81">
        <v>91</v>
      </c>
      <c r="B93" s="43" t="s">
        <v>53</v>
      </c>
      <c r="C93" s="11" t="s">
        <v>172</v>
      </c>
      <c r="D93" s="11" t="s">
        <v>164</v>
      </c>
      <c r="E93" s="12" t="s">
        <v>165</v>
      </c>
      <c r="F93" s="11" t="s">
        <v>50</v>
      </c>
      <c r="G93" s="13">
        <v>42506</v>
      </c>
      <c r="I93" s="13">
        <v>43041</v>
      </c>
      <c r="J93" s="14">
        <v>43152</v>
      </c>
      <c r="K93" s="15">
        <v>121</v>
      </c>
      <c r="L93" s="16">
        <f t="shared" si="22"/>
        <v>646</v>
      </c>
      <c r="M93" s="16">
        <v>778</v>
      </c>
      <c r="N93" s="16">
        <v>824</v>
      </c>
      <c r="O93" s="16">
        <v>890</v>
      </c>
      <c r="P93" s="17">
        <f t="shared" si="23"/>
        <v>857</v>
      </c>
      <c r="U93" s="18">
        <v>1225</v>
      </c>
      <c r="V93" s="17">
        <v>1250</v>
      </c>
      <c r="W93" s="19">
        <v>1230</v>
      </c>
      <c r="X93" s="17">
        <f t="shared" si="24"/>
        <v>1240</v>
      </c>
      <c r="Y93" s="20">
        <f t="shared" si="25"/>
        <v>1.9195046439628483</v>
      </c>
      <c r="Z93" s="17">
        <f t="shared" si="26"/>
        <v>383</v>
      </c>
      <c r="AA93" s="20">
        <f t="shared" si="27"/>
        <v>3.4196428571428572</v>
      </c>
      <c r="AB93" s="21">
        <v>53</v>
      </c>
      <c r="AC93" s="22">
        <f t="shared" si="28"/>
        <v>4.9046917200000015</v>
      </c>
      <c r="AD93" s="23">
        <v>13.3474</v>
      </c>
      <c r="AE93" s="24">
        <f t="shared" si="29"/>
        <v>1.0895836734693878</v>
      </c>
      <c r="AF93" s="23">
        <v>0.248228</v>
      </c>
      <c r="AG93" s="23">
        <v>3.1524700000000001</v>
      </c>
      <c r="AH93" s="23">
        <v>0.37437799999999999</v>
      </c>
      <c r="AI93" s="25">
        <v>41</v>
      </c>
      <c r="AJ93" s="26">
        <v>3</v>
      </c>
      <c r="AK93" s="26">
        <v>7</v>
      </c>
      <c r="AL93" s="27">
        <v>16</v>
      </c>
      <c r="AM93" s="27">
        <v>12</v>
      </c>
      <c r="AN93" s="27">
        <f t="shared" si="30"/>
        <v>192</v>
      </c>
      <c r="AO93" s="63">
        <f>(AA93/3.95)*100</f>
        <v>86.573236889692581</v>
      </c>
      <c r="AP93" s="63">
        <f>(AE93/1.08)*100</f>
        <v>100.88737717309147</v>
      </c>
      <c r="AQ93" s="63">
        <f>(Y93/2.34)*100</f>
        <v>82.030112989865316</v>
      </c>
      <c r="AR93" s="63">
        <f>(AG93/3.72)*100</f>
        <v>84.743817204301081</v>
      </c>
      <c r="AS93" s="63">
        <f>(AI93/41.4)*100</f>
        <v>99.033816425120776</v>
      </c>
      <c r="AT93" s="63">
        <f t="shared" si="31"/>
        <v>89.407614182871427</v>
      </c>
      <c r="AU93" s="30"/>
      <c r="AV93" s="30"/>
      <c r="AW93" s="30"/>
      <c r="AX93" s="30"/>
      <c r="AY93" s="29"/>
      <c r="AZ93" s="30"/>
      <c r="BA93" s="30"/>
      <c r="BB93" s="29"/>
      <c r="BC93" s="30"/>
      <c r="BD93" s="30"/>
      <c r="BE93" s="30"/>
      <c r="BF93" s="30"/>
      <c r="BG93" s="30"/>
      <c r="BH93" s="29"/>
      <c r="BI93" s="30"/>
      <c r="BJ93" s="30"/>
      <c r="BK93" s="30"/>
      <c r="BL93" s="29"/>
      <c r="BM93" s="30"/>
      <c r="BN93" s="29"/>
      <c r="BO93" s="30"/>
      <c r="BP93" s="30"/>
      <c r="BQ93" s="30"/>
      <c r="BR93" s="30"/>
      <c r="BS93" s="31"/>
      <c r="BT93" s="30"/>
      <c r="BU93" s="30"/>
    </row>
    <row r="94" spans="1:251" x14ac:dyDescent="0.2">
      <c r="A94" s="81">
        <v>2</v>
      </c>
      <c r="B94" s="11" t="s">
        <v>53</v>
      </c>
      <c r="C94" s="11" t="s">
        <v>172</v>
      </c>
      <c r="D94" s="32" t="s">
        <v>62</v>
      </c>
      <c r="E94" s="12" t="s">
        <v>69</v>
      </c>
      <c r="F94" s="11" t="s">
        <v>51</v>
      </c>
      <c r="G94" s="13">
        <v>42514</v>
      </c>
      <c r="I94" s="13">
        <v>43041</v>
      </c>
      <c r="J94" s="14">
        <v>43152</v>
      </c>
      <c r="K94" s="15">
        <v>100</v>
      </c>
      <c r="L94" s="16">
        <f t="shared" si="22"/>
        <v>638</v>
      </c>
      <c r="M94" s="16">
        <v>910</v>
      </c>
      <c r="N94" s="16">
        <v>944</v>
      </c>
      <c r="O94" s="16">
        <v>980</v>
      </c>
      <c r="P94" s="17">
        <f t="shared" si="23"/>
        <v>962</v>
      </c>
      <c r="U94" s="18">
        <v>1295</v>
      </c>
      <c r="V94" s="17">
        <v>1390</v>
      </c>
      <c r="W94" s="19">
        <v>1280</v>
      </c>
      <c r="X94" s="17">
        <f t="shared" si="24"/>
        <v>1335</v>
      </c>
      <c r="Y94" s="20">
        <f t="shared" si="25"/>
        <v>2.092476489028213</v>
      </c>
      <c r="Z94" s="17">
        <f t="shared" si="26"/>
        <v>373</v>
      </c>
      <c r="AA94" s="20">
        <f t="shared" si="27"/>
        <v>3.3303571428571428</v>
      </c>
      <c r="AB94" s="21">
        <v>57</v>
      </c>
      <c r="AC94" s="22">
        <f t="shared" si="28"/>
        <v>6.9581710800000014</v>
      </c>
      <c r="AD94" s="23">
        <v>12.995900000000001</v>
      </c>
      <c r="AE94" s="24">
        <f t="shared" si="29"/>
        <v>1.0035444015444015</v>
      </c>
      <c r="AF94" s="23">
        <v>0.13450000000000001</v>
      </c>
      <c r="AG94" s="23">
        <v>3.645</v>
      </c>
      <c r="AH94" s="23">
        <v>0.33689999999999998</v>
      </c>
      <c r="AI94" s="25">
        <v>37.5</v>
      </c>
      <c r="AJ94" s="26">
        <v>2</v>
      </c>
      <c r="AK94" s="26">
        <v>6</v>
      </c>
      <c r="AL94" s="27">
        <v>14.5</v>
      </c>
      <c r="AM94" s="27">
        <v>12</v>
      </c>
      <c r="AN94" s="27">
        <f t="shared" si="30"/>
        <v>174</v>
      </c>
      <c r="AO94" s="63">
        <f>(AA94/4.35)*100</f>
        <v>76.559934318555008</v>
      </c>
      <c r="AP94" s="63">
        <f>(AE94/1.04)*100</f>
        <v>96.494653994653987</v>
      </c>
      <c r="AQ94" s="63">
        <f>(Y94/2.43)*100</f>
        <v>86.110143581407939</v>
      </c>
      <c r="AR94" s="63">
        <f>(AG94/3.66)*100</f>
        <v>99.590163934426229</v>
      </c>
      <c r="AS94" s="63">
        <f>(AI94/41.4)*100</f>
        <v>90.579710144927532</v>
      </c>
      <c r="AT94" s="63">
        <f t="shared" si="31"/>
        <v>88.464943612156887</v>
      </c>
      <c r="AU94" s="30"/>
      <c r="AV94" s="30"/>
      <c r="AW94" s="30"/>
      <c r="AX94" s="30"/>
      <c r="AY94" s="29"/>
      <c r="AZ94" s="30"/>
      <c r="BA94" s="30"/>
      <c r="BC94" s="30"/>
      <c r="BD94" s="30"/>
      <c r="BE94" s="30"/>
      <c r="BF94" s="30"/>
      <c r="BG94" s="30"/>
      <c r="BH94" s="29"/>
      <c r="BI94" s="30"/>
      <c r="BJ94" s="30"/>
      <c r="BK94" s="30"/>
      <c r="BL94" s="29"/>
      <c r="BM94" s="30"/>
      <c r="BN94" s="29"/>
      <c r="BO94" s="30"/>
      <c r="BP94" s="30"/>
      <c r="BQ94" s="30"/>
      <c r="BR94" s="30"/>
      <c r="BS94" s="31"/>
      <c r="BT94" s="30"/>
      <c r="BU94" s="30"/>
    </row>
    <row r="95" spans="1:251" s="35" customFormat="1" ht="15.75" x14ac:dyDescent="0.25">
      <c r="A95" s="81">
        <v>4</v>
      </c>
      <c r="B95" s="11" t="s">
        <v>46</v>
      </c>
      <c r="C95" s="11" t="s">
        <v>173</v>
      </c>
      <c r="D95" s="32" t="s">
        <v>62</v>
      </c>
      <c r="E95" s="12" t="s">
        <v>71</v>
      </c>
      <c r="F95" s="11" t="s">
        <v>51</v>
      </c>
      <c r="G95" s="13">
        <v>42793</v>
      </c>
      <c r="H95" s="13"/>
      <c r="I95" s="13">
        <v>43041</v>
      </c>
      <c r="J95" s="14">
        <v>43152</v>
      </c>
      <c r="K95" s="15">
        <v>100</v>
      </c>
      <c r="L95" s="16">
        <f t="shared" si="22"/>
        <v>359</v>
      </c>
      <c r="M95" s="16">
        <v>668</v>
      </c>
      <c r="N95" s="16">
        <v>728</v>
      </c>
      <c r="O95" s="16">
        <v>742</v>
      </c>
      <c r="P95" s="17">
        <f t="shared" si="23"/>
        <v>735</v>
      </c>
      <c r="Q95" s="17"/>
      <c r="R95" s="17"/>
      <c r="S95" s="17"/>
      <c r="T95" s="17"/>
      <c r="U95" s="18">
        <v>1065</v>
      </c>
      <c r="V95" s="17">
        <v>1045</v>
      </c>
      <c r="W95" s="19">
        <v>1055</v>
      </c>
      <c r="X95" s="17">
        <f t="shared" si="24"/>
        <v>1050</v>
      </c>
      <c r="Y95" s="20">
        <f t="shared" si="25"/>
        <v>2.9247910863509747</v>
      </c>
      <c r="Z95" s="17">
        <f t="shared" si="26"/>
        <v>315</v>
      </c>
      <c r="AA95" s="20">
        <f t="shared" si="27"/>
        <v>2.8125</v>
      </c>
      <c r="AB95" s="21">
        <v>53</v>
      </c>
      <c r="AC95" s="22">
        <f t="shared" si="28"/>
        <v>7.0751148700000011</v>
      </c>
      <c r="AD95" s="23">
        <v>11.491199999999999</v>
      </c>
      <c r="AE95" s="24">
        <f t="shared" si="29"/>
        <v>1.0789859154929577</v>
      </c>
      <c r="AF95" s="23">
        <v>0.24357100000000001</v>
      </c>
      <c r="AG95" s="23">
        <v>2.8615400000000002</v>
      </c>
      <c r="AH95" s="23">
        <v>0.33933600000000003</v>
      </c>
      <c r="AI95" s="25">
        <v>31.5</v>
      </c>
      <c r="AJ95" s="26">
        <v>3</v>
      </c>
      <c r="AK95" s="26">
        <v>7</v>
      </c>
      <c r="AL95" s="27">
        <v>14.5</v>
      </c>
      <c r="AM95" s="27">
        <v>11.5</v>
      </c>
      <c r="AN95" s="27">
        <f t="shared" si="30"/>
        <v>166.75</v>
      </c>
      <c r="AO95" s="63">
        <f>(AA95/3.62)*100</f>
        <v>77.693370165745861</v>
      </c>
      <c r="AP95" s="63">
        <f>(AE95/1.1)*100</f>
        <v>98.08962868117797</v>
      </c>
      <c r="AQ95" s="63">
        <f>(Y95/3.03)*100</f>
        <v>96.527758625444719</v>
      </c>
      <c r="AR95" s="63">
        <f>(AG95/3.56)*100</f>
        <v>80.380337078651692</v>
      </c>
      <c r="AS95" s="63">
        <f>(AI95/35.6)*100</f>
        <v>88.483146067415731</v>
      </c>
      <c r="AT95" s="63">
        <f t="shared" si="31"/>
        <v>87.155870533520201</v>
      </c>
      <c r="AU95" s="30"/>
      <c r="AV95" s="30"/>
      <c r="AW95" s="73"/>
      <c r="AX95" s="73"/>
      <c r="AY95" s="72"/>
      <c r="AZ95" s="73"/>
      <c r="BA95" s="73"/>
      <c r="BB95" s="54"/>
      <c r="BC95" s="73"/>
      <c r="BD95" s="73"/>
      <c r="BE95" s="73"/>
      <c r="BF95" s="73"/>
      <c r="BG95" s="73"/>
      <c r="BH95" s="72"/>
      <c r="BI95" s="73"/>
      <c r="BJ95" s="73"/>
      <c r="BK95" s="73"/>
      <c r="BL95" s="72"/>
      <c r="BM95" s="73"/>
      <c r="BN95" s="72"/>
      <c r="BO95" s="73"/>
      <c r="BP95" s="73"/>
      <c r="BQ95" s="73"/>
      <c r="BR95" s="73"/>
      <c r="BS95" s="74"/>
      <c r="BT95" s="73"/>
      <c r="BU95" s="73"/>
    </row>
    <row r="96" spans="1:251" x14ac:dyDescent="0.2">
      <c r="A96" s="82">
        <v>74</v>
      </c>
      <c r="B96" s="11" t="s">
        <v>53</v>
      </c>
      <c r="C96" s="11" t="s">
        <v>172</v>
      </c>
      <c r="D96" s="32" t="s">
        <v>142</v>
      </c>
      <c r="E96" s="12" t="s">
        <v>145</v>
      </c>
      <c r="F96" s="11" t="s">
        <v>59</v>
      </c>
      <c r="G96" s="13">
        <v>42521</v>
      </c>
      <c r="H96" s="28"/>
      <c r="I96" s="13">
        <v>43041</v>
      </c>
      <c r="J96" s="14">
        <v>43152</v>
      </c>
      <c r="K96" s="15">
        <v>116</v>
      </c>
      <c r="L96" s="16">
        <f t="shared" si="22"/>
        <v>631</v>
      </c>
      <c r="M96" s="16">
        <v>944</v>
      </c>
      <c r="N96" s="16">
        <v>964</v>
      </c>
      <c r="O96" s="16">
        <v>1020</v>
      </c>
      <c r="P96" s="17">
        <f t="shared" si="23"/>
        <v>992</v>
      </c>
      <c r="Q96" s="15"/>
      <c r="R96" s="15"/>
      <c r="S96" s="15"/>
      <c r="T96" s="15"/>
      <c r="U96" s="18">
        <v>1225</v>
      </c>
      <c r="V96" s="15">
        <v>1260</v>
      </c>
      <c r="W96" s="15">
        <v>1240</v>
      </c>
      <c r="X96" s="17">
        <f t="shared" si="24"/>
        <v>1250</v>
      </c>
      <c r="Y96" s="20">
        <f t="shared" si="25"/>
        <v>1.9809825673534074</v>
      </c>
      <c r="Z96" s="17">
        <f t="shared" si="26"/>
        <v>258</v>
      </c>
      <c r="AA96" s="20">
        <f t="shared" si="27"/>
        <v>2.3035714285714284</v>
      </c>
      <c r="AB96" s="22">
        <v>54</v>
      </c>
      <c r="AC96" s="22">
        <f t="shared" si="28"/>
        <v>5.4475662700000003</v>
      </c>
      <c r="AD96" s="23">
        <v>13.1248</v>
      </c>
      <c r="AE96" s="24">
        <f t="shared" si="29"/>
        <v>1.0714122448979593</v>
      </c>
      <c r="AF96" s="23">
        <v>0.199961</v>
      </c>
      <c r="AG96" s="23">
        <v>3.6836899999999999</v>
      </c>
      <c r="AH96" s="23">
        <v>0.195997</v>
      </c>
      <c r="AI96" s="25">
        <v>38.5</v>
      </c>
      <c r="AJ96" s="16">
        <v>1</v>
      </c>
      <c r="AK96" s="16">
        <v>6</v>
      </c>
      <c r="AL96" s="25">
        <v>16</v>
      </c>
      <c r="AM96" s="25">
        <v>13</v>
      </c>
      <c r="AN96" s="27">
        <f t="shared" si="30"/>
        <v>208</v>
      </c>
      <c r="AO96" s="63">
        <f>(AA96/3.96)*100</f>
        <v>58.170995670995666</v>
      </c>
      <c r="AP96" s="63">
        <f>(AE96/1.09)*100</f>
        <v>98.294701366785247</v>
      </c>
      <c r="AQ96" s="63">
        <f>(Y96/2.35)*100</f>
        <v>84.297130525676906</v>
      </c>
      <c r="AR96" s="63">
        <f>(AG96/3.88)*100</f>
        <v>94.940463917525776</v>
      </c>
      <c r="AS96" s="63">
        <f>(AI96/40.6)*100</f>
        <v>94.827586206896555</v>
      </c>
      <c r="AT96" s="63">
        <f t="shared" si="31"/>
        <v>82.440516483985931</v>
      </c>
      <c r="AU96" s="44"/>
      <c r="AV96" s="44"/>
      <c r="AW96" s="30"/>
      <c r="AX96" s="30"/>
      <c r="AY96" s="29"/>
      <c r="AZ96" s="30"/>
      <c r="BA96" s="30"/>
      <c r="BC96" s="30"/>
      <c r="BD96" s="30"/>
      <c r="BE96" s="30"/>
      <c r="BF96" s="30"/>
      <c r="BG96" s="30"/>
      <c r="BH96" s="29"/>
      <c r="BI96" s="30"/>
      <c r="BJ96" s="30"/>
      <c r="BK96" s="30"/>
      <c r="BL96" s="29"/>
      <c r="BM96" s="30"/>
      <c r="BN96" s="29"/>
      <c r="BO96" s="30"/>
      <c r="BP96" s="30"/>
      <c r="BQ96" s="30"/>
      <c r="BR96" s="30"/>
      <c r="BS96" s="31"/>
      <c r="BT96" s="30"/>
      <c r="BU96" s="30"/>
    </row>
    <row r="97" spans="1:251" s="32" customFormat="1" x14ac:dyDescent="0.2">
      <c r="A97" s="81"/>
      <c r="B97" s="11"/>
      <c r="C97" s="11"/>
      <c r="E97" s="12"/>
      <c r="F97" s="11"/>
      <c r="G97" s="13"/>
      <c r="H97" s="13"/>
      <c r="I97" s="13"/>
      <c r="J97" s="14"/>
      <c r="K97" s="15"/>
      <c r="L97" s="16"/>
      <c r="M97" s="16"/>
      <c r="N97" s="16"/>
      <c r="O97" s="16"/>
      <c r="P97" s="17"/>
      <c r="Q97" s="17"/>
      <c r="R97" s="17"/>
      <c r="S97" s="17"/>
      <c r="T97" s="17"/>
      <c r="U97" s="18"/>
      <c r="V97" s="17"/>
      <c r="W97" s="19"/>
      <c r="X97" s="17"/>
      <c r="Y97" s="20"/>
      <c r="Z97" s="17"/>
      <c r="AA97" s="20"/>
      <c r="AB97" s="21"/>
      <c r="AC97" s="22"/>
      <c r="AD97" s="23"/>
      <c r="AE97" s="24"/>
      <c r="AF97" s="23"/>
      <c r="AG97" s="23"/>
      <c r="AH97" s="23"/>
      <c r="AI97" s="25"/>
      <c r="AJ97" s="26"/>
      <c r="AK97" s="26"/>
      <c r="AL97" s="27"/>
      <c r="AM97" s="27"/>
      <c r="AN97" s="27"/>
      <c r="AO97" s="63"/>
      <c r="AP97" s="63"/>
      <c r="AQ97" s="63"/>
      <c r="AR97" s="63"/>
      <c r="AS97" s="63"/>
      <c r="AT97" s="63"/>
      <c r="AU97" s="30"/>
      <c r="AV97" s="30"/>
      <c r="AW97" s="30"/>
      <c r="AX97" s="30"/>
      <c r="AY97" s="29"/>
      <c r="AZ97" s="30"/>
      <c r="BA97" s="30"/>
      <c r="BB97" s="16"/>
      <c r="BC97" s="30"/>
      <c r="BD97" s="30"/>
      <c r="BE97" s="30"/>
      <c r="BF97" s="30"/>
      <c r="BG97" s="30"/>
      <c r="BH97" s="29"/>
      <c r="BI97" s="30"/>
      <c r="BJ97" s="30"/>
      <c r="BK97" s="30"/>
      <c r="BL97" s="29"/>
      <c r="BM97" s="30"/>
      <c r="BN97" s="29"/>
      <c r="BO97" s="30"/>
      <c r="BP97" s="30"/>
      <c r="BQ97" s="30"/>
      <c r="BR97" s="30"/>
      <c r="BS97" s="31"/>
      <c r="BT97" s="30"/>
      <c r="BU97" s="30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  <c r="IP97" s="11"/>
      <c r="IQ97" s="11"/>
    </row>
  </sheetData>
  <sortState ref="A3:AZ46">
    <sortCondition descending="1" ref="C3:C46"/>
  </sortState>
  <phoneticPr fontId="0" type="noConversion"/>
  <printOptions gridLines="1" gridLinesSet="0"/>
  <pageMargins left="0.25" right="0.25" top="0.75" bottom="0.25" header="0.25" footer="0.5"/>
  <pageSetup orientation="landscape" r:id="rId1"/>
  <headerFooter alignWithMargins="0">
    <oddHeader>&amp;CRGVBIA BULL GAIN TEST
2018 SALE LIST (preliminary, contingent on passing BSE)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RATIO BY BREED</vt:lpstr>
      <vt:lpstr>SALE LIST (preliminary)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'SALE LIST (preliminary)'!Print_Titles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1998-99 Rio Grande Valley Bull Gain Test</dc:title>
  <dc:creator>Authorized Gateway Customer</dc:creator>
  <cp:lastModifiedBy>Brad Cowan</cp:lastModifiedBy>
  <cp:lastPrinted>2018-03-09T15:47:54Z</cp:lastPrinted>
  <dcterms:created xsi:type="dcterms:W3CDTF">1999-11-22T16:11:30Z</dcterms:created>
  <dcterms:modified xsi:type="dcterms:W3CDTF">2018-03-09T15:48:23Z</dcterms:modified>
</cp:coreProperties>
</file>