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495" windowHeight="4965" tabRatio="602" activeTab="0"/>
  </bookViews>
  <sheets>
    <sheet name="2014-15 Bulls" sheetId="1" r:id="rId1"/>
    <sheet name="2014-15 Heifers" sheetId="2" r:id="rId2"/>
    <sheet name="Bulls Sorted by Ranch" sheetId="3" r:id="rId3"/>
    <sheet name="Heifers Sorted by Ranch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'2014-15 Bulls'!$A:$A,'2014-15 Bulls'!$1:$1</definedName>
    <definedName name="_xlnm.Print_Titles" localSheetId="1">'2014-15 Heifers'!$A:$A,'2014-15 Heifers'!$1:$1</definedName>
  </definedNames>
  <calcPr fullCalcOnLoad="1"/>
</workbook>
</file>

<file path=xl/sharedStrings.xml><?xml version="1.0" encoding="utf-8"?>
<sst xmlns="http://schemas.openxmlformats.org/spreadsheetml/2006/main" count="621" uniqueCount="153">
  <si>
    <t>Bull Test ID</t>
  </si>
  <si>
    <t>Ranch</t>
  </si>
  <si>
    <t>Ranch ID</t>
  </si>
  <si>
    <t>Breed</t>
  </si>
  <si>
    <t>Birth     Date</t>
  </si>
  <si>
    <t>Lot</t>
  </si>
  <si>
    <t>Age</t>
  </si>
  <si>
    <t>Warm Up Wt</t>
  </si>
  <si>
    <t>On Feed Weight</t>
  </si>
  <si>
    <t>Mid Weight</t>
  </si>
  <si>
    <t>Weight Per Day</t>
  </si>
  <si>
    <t>Mid-Wt Gain</t>
  </si>
  <si>
    <t>Final Weight</t>
  </si>
  <si>
    <t>Final Hip Ht.</t>
  </si>
  <si>
    <t>Final Gain</t>
  </si>
  <si>
    <t>Final ADG</t>
  </si>
  <si>
    <t>End Date</t>
  </si>
  <si>
    <t>IM Fat%</t>
  </si>
  <si>
    <t>Fat Thick.</t>
  </si>
  <si>
    <t>REA/CWT Live</t>
  </si>
  <si>
    <t>Tag Color</t>
  </si>
  <si>
    <t>Mid ADG</t>
  </si>
  <si>
    <t>Pelvic Height</t>
  </si>
  <si>
    <t>Pelvic Width</t>
  </si>
  <si>
    <t>Pelvic Area</t>
  </si>
  <si>
    <t>Frame Score</t>
  </si>
  <si>
    <t>Warm Up Wt Gain</t>
  </si>
  <si>
    <t>On Feed Wt I</t>
  </si>
  <si>
    <t>On Feed Wt II</t>
  </si>
  <si>
    <t>Final Wt  I</t>
  </si>
  <si>
    <t>Final Wt II</t>
  </si>
  <si>
    <t>Start Date</t>
  </si>
  <si>
    <t>Arrival Date</t>
  </si>
  <si>
    <t>Sheath Score</t>
  </si>
  <si>
    <t>Green</t>
  </si>
  <si>
    <t>Heifer  Test ID</t>
  </si>
  <si>
    <t>On Feed Wt</t>
  </si>
  <si>
    <t>ADG Ratio</t>
  </si>
  <si>
    <t>REA/Cwt Ratio</t>
  </si>
  <si>
    <t>WPDA Ratio</t>
  </si>
  <si>
    <t>Marbling Ratio</t>
  </si>
  <si>
    <t>LSYB</t>
  </si>
  <si>
    <t>Age Group</t>
  </si>
  <si>
    <t>RGVBIA Ratio</t>
  </si>
  <si>
    <t>RGVBIA Award</t>
  </si>
  <si>
    <t>Final S.C.</t>
  </si>
  <si>
    <t>S.C. Ratio</t>
  </si>
  <si>
    <t>RTS</t>
  </si>
  <si>
    <t>BCS</t>
  </si>
  <si>
    <t>On Feed Date</t>
  </si>
  <si>
    <t>Off Feed Date</t>
  </si>
  <si>
    <t>Final BCS</t>
  </si>
  <si>
    <t>US Wt</t>
  </si>
  <si>
    <t>Navel Score</t>
  </si>
  <si>
    <t>Orange</t>
  </si>
  <si>
    <t>Yellow</t>
  </si>
  <si>
    <t>LSBC</t>
  </si>
  <si>
    <t>La Campana Ranch</t>
  </si>
  <si>
    <t>Santa Gertrudis</t>
  </si>
  <si>
    <t>Simbrah</t>
  </si>
  <si>
    <t>EJBC</t>
  </si>
  <si>
    <t>La Morra Ranch</t>
  </si>
  <si>
    <t>Beefmaster</t>
  </si>
  <si>
    <t>Olivarez Ranches</t>
  </si>
  <si>
    <t>Brahman</t>
  </si>
  <si>
    <t>Mendietta's Beefmaster</t>
  </si>
  <si>
    <t>REA</t>
  </si>
  <si>
    <t>Lazy JV Ranch</t>
  </si>
  <si>
    <t>3/116</t>
  </si>
  <si>
    <t>X2/15</t>
  </si>
  <si>
    <t>3/119</t>
  </si>
  <si>
    <t>3/120</t>
  </si>
  <si>
    <t>94/3</t>
  </si>
  <si>
    <t>RET</t>
  </si>
  <si>
    <t>256/51</t>
  </si>
  <si>
    <t>419</t>
  </si>
  <si>
    <t>425</t>
  </si>
  <si>
    <t>422</t>
  </si>
  <si>
    <t>401</t>
  </si>
  <si>
    <t>59A</t>
  </si>
  <si>
    <t>299</t>
  </si>
  <si>
    <t>4/550</t>
  </si>
  <si>
    <t>4/552</t>
  </si>
  <si>
    <t>4/551</t>
  </si>
  <si>
    <t>CR20</t>
  </si>
  <si>
    <t>CR13</t>
  </si>
  <si>
    <t>14/44</t>
  </si>
  <si>
    <t>14/43</t>
  </si>
  <si>
    <t>A46</t>
  </si>
  <si>
    <t>B09</t>
  </si>
  <si>
    <t>B08</t>
  </si>
  <si>
    <t>A36</t>
  </si>
  <si>
    <t>5A133</t>
  </si>
  <si>
    <t>5B59</t>
  </si>
  <si>
    <t>B124</t>
  </si>
  <si>
    <t>5A175</t>
  </si>
  <si>
    <t>B65</t>
  </si>
  <si>
    <t>5B40</t>
  </si>
  <si>
    <t>A180</t>
  </si>
  <si>
    <t>5B137</t>
  </si>
  <si>
    <t>5B142</t>
  </si>
  <si>
    <t>5B148</t>
  </si>
  <si>
    <t>5B69</t>
  </si>
  <si>
    <t>Rancho El Toro</t>
  </si>
  <si>
    <t>Top C Cattle</t>
  </si>
  <si>
    <t>England Cattle</t>
  </si>
  <si>
    <t>CR Ranch</t>
  </si>
  <si>
    <t>Puesta del Sol</t>
  </si>
  <si>
    <t>BETM</t>
  </si>
  <si>
    <t>Elizondo Ranch</t>
  </si>
  <si>
    <t>La Muneca Cattle Co.</t>
  </si>
  <si>
    <t>Pink</t>
  </si>
  <si>
    <t>645</t>
  </si>
  <si>
    <t>646</t>
  </si>
  <si>
    <t>647</t>
  </si>
  <si>
    <t>650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</si>
  <si>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</si>
  <si>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</si>
  <si>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</si>
  <si>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</si>
  <si>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</si>
  <si>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</si>
  <si>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</si>
  <si>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</si>
  <si>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</si>
  <si>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</si>
  <si>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</si>
  <si>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648</t>
  </si>
  <si>
    <t>649</t>
  </si>
  <si>
    <t>3/4Simbrah</t>
  </si>
  <si>
    <t>Double G Farms</t>
  </si>
  <si>
    <t>478</t>
  </si>
  <si>
    <t>652</t>
  </si>
  <si>
    <t>3/4 Simbrah</t>
  </si>
  <si>
    <t>Santa Gertudis</t>
  </si>
  <si>
    <t>Angus</t>
  </si>
  <si>
    <t>F1 Beefmaster</t>
  </si>
  <si>
    <t>Star Five</t>
  </si>
  <si>
    <t>Simbravieh</t>
  </si>
  <si>
    <t>A50</t>
  </si>
  <si>
    <t>B11</t>
  </si>
  <si>
    <t>Brolaro Cattle Co.</t>
  </si>
  <si>
    <t>B388</t>
  </si>
  <si>
    <t>B03</t>
  </si>
  <si>
    <t>5B7</t>
  </si>
  <si>
    <t>EJBC Average</t>
  </si>
  <si>
    <t>LSBC Average</t>
  </si>
  <si>
    <t>Overall Average</t>
  </si>
  <si>
    <t>LSYB Average</t>
  </si>
  <si>
    <t>Champion Santa Gertrudis</t>
  </si>
  <si>
    <t>Res. Champion Santa Gertrudis</t>
  </si>
  <si>
    <t>Champion Simbrah</t>
  </si>
  <si>
    <t>Res. Champion Simbrah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</si>
</sst>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mmm\-yyyy"/>
    <numFmt numFmtId="167" formatCode="00000"/>
    <numFmt numFmtId="168" formatCode="0.000"/>
    <numFmt numFmtId="169" formatCode="[$-409]dddd\,\ mmmm\ d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justify"/>
    </xf>
    <xf numFmtId="49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 vertical="justify"/>
    </xf>
    <xf numFmtId="14" fontId="1" fillId="0" borderId="0" xfId="0" applyNumberFormat="1" applyFont="1" applyFill="1" applyAlignment="1">
      <alignment horizontal="center" vertical="justify"/>
    </xf>
    <xf numFmtId="1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165" fontId="1" fillId="0" borderId="0" xfId="0" applyNumberFormat="1" applyFont="1" applyFill="1" applyAlignment="1">
      <alignment horizontal="center" vertical="justify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justify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justify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7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49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7" fontId="1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4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>
      <alignment horizontal="center" vertical="justify"/>
    </xf>
    <xf numFmtId="14" fontId="8" fillId="0" borderId="0" xfId="0" applyNumberFormat="1" applyFont="1" applyFill="1" applyAlignment="1">
      <alignment horizontal="center" vertical="justify"/>
    </xf>
    <xf numFmtId="1" fontId="8" fillId="0" borderId="0" xfId="0" applyNumberFormat="1" applyFont="1" applyFill="1" applyAlignment="1">
      <alignment horizontal="center" vertical="justify"/>
    </xf>
    <xf numFmtId="2" fontId="8" fillId="0" borderId="0" xfId="0" applyNumberFormat="1" applyFont="1" applyFill="1" applyAlignment="1">
      <alignment horizontal="center" vertical="justify"/>
    </xf>
    <xf numFmtId="165" fontId="8" fillId="0" borderId="0" xfId="0" applyNumberFormat="1" applyFont="1" applyFill="1" applyAlignment="1">
      <alignment horizontal="center" vertical="justify"/>
    </xf>
    <xf numFmtId="7" fontId="8" fillId="0" borderId="0" xfId="0" applyNumberFormat="1" applyFont="1" applyFill="1" applyAlignment="1">
      <alignment horizontal="center" vertical="justify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14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7" fontId="10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 vertical="justify"/>
    </xf>
    <xf numFmtId="165" fontId="10" fillId="0" borderId="0" xfId="0" applyNumberFormat="1" applyFont="1" applyFill="1" applyAlignment="1">
      <alignment horizontal="right"/>
    </xf>
    <xf numFmtId="7" fontId="9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justify"/>
    </xf>
    <xf numFmtId="49" fontId="10" fillId="0" borderId="0" xfId="0" applyNumberFormat="1" applyFont="1" applyFill="1" applyAlignment="1">
      <alignment/>
    </xf>
    <xf numFmtId="49" fontId="46" fillId="33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 horizontal="right"/>
    </xf>
    <xf numFmtId="14" fontId="1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7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right"/>
    </xf>
    <xf numFmtId="49" fontId="46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9"/>
  <sheetViews>
    <sheetView tabSelected="1" workbookViewId="0" topLeftCell="AD1">
      <selection activeCell="AT28" sqref="AT28"/>
    </sheetView>
  </sheetViews>
  <sheetFormatPr defaultColWidth="9.140625" defaultRowHeight="12.75"/>
  <cols>
    <col min="1" max="1" width="8.8515625" style="91" bestFit="1" customWidth="1"/>
    <col min="2" max="3" width="9.140625" style="91" customWidth="1"/>
    <col min="4" max="4" width="26.00390625" style="91" customWidth="1"/>
    <col min="5" max="5" width="9.140625" style="99" customWidth="1"/>
    <col min="6" max="6" width="17.8515625" style="91" customWidth="1"/>
    <col min="7" max="7" width="12.8515625" style="100" customWidth="1"/>
    <col min="8" max="8" width="10.00390625" style="100" hidden="1" customWidth="1"/>
    <col min="9" max="9" width="12.140625" style="100" customWidth="1"/>
    <col min="10" max="10" width="11.140625" style="93" customWidth="1"/>
    <col min="11" max="11" width="5.57421875" style="94" customWidth="1"/>
    <col min="12" max="12" width="5.8515625" style="95" customWidth="1"/>
    <col min="13" max="13" width="7.8515625" style="95" customWidth="1"/>
    <col min="14" max="14" width="11.57421875" style="95" customWidth="1"/>
    <col min="15" max="15" width="11.00390625" style="95" customWidth="1"/>
    <col min="16" max="16" width="9.421875" style="102" customWidth="1"/>
    <col min="17" max="17" width="9.421875" style="102" hidden="1" customWidth="1"/>
    <col min="18" max="18" width="9.140625" style="102" hidden="1" customWidth="1"/>
    <col min="19" max="19" width="9.00390625" style="102" hidden="1" customWidth="1"/>
    <col min="20" max="20" width="7.421875" style="105" hidden="1" customWidth="1"/>
    <col min="21" max="21" width="7.421875" style="102" hidden="1" customWidth="1"/>
    <col min="22" max="22" width="9.140625" style="102" customWidth="1"/>
    <col min="23" max="24" width="9.00390625" style="102" customWidth="1"/>
    <col min="25" max="25" width="9.140625" style="105" customWidth="1"/>
    <col min="26" max="26" width="7.421875" style="102" customWidth="1"/>
    <col min="27" max="27" width="7.57421875" style="105" customWidth="1"/>
    <col min="28" max="28" width="6.8515625" style="106" customWidth="1"/>
    <col min="29" max="29" width="8.57421875" style="106" customWidth="1"/>
    <col min="30" max="30" width="7.28125" style="105" customWidth="1"/>
    <col min="31" max="31" width="12.28125" style="105" customWidth="1"/>
    <col min="32" max="32" width="7.28125" style="105" customWidth="1"/>
    <col min="33" max="33" width="9.140625" style="105" customWidth="1"/>
    <col min="34" max="34" width="6.421875" style="106" customWidth="1"/>
    <col min="35" max="35" width="9.28125" style="102" customWidth="1"/>
    <col min="36" max="36" width="7.421875" style="102" customWidth="1"/>
    <col min="37" max="37" width="8.8515625" style="106" customWidth="1"/>
    <col min="38" max="38" width="9.00390625" style="106" customWidth="1"/>
    <col min="39" max="39" width="9.57421875" style="105" customWidth="1"/>
    <col min="40" max="40" width="9.140625" style="105" customWidth="1"/>
    <col min="41" max="41" width="12.8515625" style="105" customWidth="1"/>
    <col min="42" max="42" width="10.8515625" style="105" customWidth="1"/>
    <col min="43" max="43" width="11.140625" style="105" customWidth="1"/>
    <col min="44" max="44" width="8.8515625" style="105" customWidth="1"/>
    <col min="45" max="45" width="11.57421875" style="105" customWidth="1"/>
    <col min="46" max="46" width="33.28125" style="91" customWidth="1"/>
    <col min="47" max="47" width="9.57421875" style="91" customWidth="1"/>
    <col min="48" max="48" width="10.57421875" style="91" customWidth="1"/>
    <col min="49" max="49" width="9.57421875" style="95" customWidth="1"/>
    <col min="50" max="50" width="9.57421875" style="91" customWidth="1"/>
    <col min="51" max="51" width="10.421875" style="91" customWidth="1"/>
    <col min="52" max="52" width="13.28125" style="91" customWidth="1"/>
    <col min="53" max="53" width="10.7109375" style="113" customWidth="1"/>
    <col min="54" max="54" width="9.140625" style="95" customWidth="1"/>
    <col min="55" max="55" width="9.140625" style="113" customWidth="1"/>
    <col min="56" max="56" width="10.140625" style="113" customWidth="1"/>
    <col min="57" max="58" width="9.140625" style="95" customWidth="1"/>
    <col min="59" max="61" width="11.00390625" style="91" customWidth="1"/>
    <col min="62" max="62" width="11.140625" style="113" customWidth="1"/>
    <col min="63" max="63" width="10.57421875" style="95" customWidth="1"/>
    <col min="64" max="65" width="10.57421875" style="113" customWidth="1"/>
    <col min="66" max="66" width="10.8515625" style="91" customWidth="1"/>
    <col min="67" max="67" width="11.140625" style="91" customWidth="1"/>
    <col min="68" max="68" width="10.7109375" style="91" customWidth="1"/>
    <col min="69" max="69" width="9.140625" style="91" customWidth="1"/>
    <col min="70" max="70" width="11.57421875" style="113" customWidth="1"/>
    <col min="71" max="71" width="10.8515625" style="91" customWidth="1"/>
    <col min="72" max="72" width="10.00390625" style="91" customWidth="1"/>
    <col min="73" max="73" width="10.7109375" style="91" customWidth="1"/>
    <col min="74" max="74" width="9.140625" style="97" customWidth="1"/>
    <col min="75" max="76" width="9.140625" style="113" customWidth="1"/>
    <col min="77" max="16384" width="9.140625" style="91" customWidth="1"/>
  </cols>
  <sheetData>
    <row r="1" spans="1:76" s="83" customFormat="1" ht="31.5" customHeight="1">
      <c r="A1" s="83" t="s">
        <v>0</v>
      </c>
      <c r="B1" s="83" t="s">
        <v>20</v>
      </c>
      <c r="C1" s="83" t="s">
        <v>42</v>
      </c>
      <c r="D1" s="83" t="s">
        <v>1</v>
      </c>
      <c r="E1" s="84" t="s">
        <v>2</v>
      </c>
      <c r="F1" s="83" t="s">
        <v>3</v>
      </c>
      <c r="G1" s="85" t="s">
        <v>4</v>
      </c>
      <c r="H1" s="85" t="s">
        <v>32</v>
      </c>
      <c r="I1" s="85" t="s">
        <v>31</v>
      </c>
      <c r="J1" s="85" t="s">
        <v>16</v>
      </c>
      <c r="K1" s="84" t="s">
        <v>5</v>
      </c>
      <c r="L1" s="86" t="s">
        <v>6</v>
      </c>
      <c r="M1" s="86" t="s">
        <v>7</v>
      </c>
      <c r="N1" s="86" t="s">
        <v>27</v>
      </c>
      <c r="O1" s="86" t="s">
        <v>28</v>
      </c>
      <c r="P1" s="86" t="s">
        <v>8</v>
      </c>
      <c r="Q1" s="86" t="s">
        <v>26</v>
      </c>
      <c r="R1" s="86" t="s">
        <v>9</v>
      </c>
      <c r="S1" s="86" t="s">
        <v>11</v>
      </c>
      <c r="T1" s="87" t="s">
        <v>21</v>
      </c>
      <c r="U1" s="86" t="s">
        <v>52</v>
      </c>
      <c r="V1" s="86" t="s">
        <v>29</v>
      </c>
      <c r="W1" s="86" t="s">
        <v>30</v>
      </c>
      <c r="X1" s="86" t="s">
        <v>12</v>
      </c>
      <c r="Y1" s="87" t="s">
        <v>10</v>
      </c>
      <c r="Z1" s="86" t="s">
        <v>14</v>
      </c>
      <c r="AA1" s="87" t="s">
        <v>15</v>
      </c>
      <c r="AB1" s="88" t="s">
        <v>13</v>
      </c>
      <c r="AC1" s="88" t="s">
        <v>25</v>
      </c>
      <c r="AD1" s="87" t="s">
        <v>66</v>
      </c>
      <c r="AE1" s="87" t="s">
        <v>19</v>
      </c>
      <c r="AF1" s="87" t="s">
        <v>18</v>
      </c>
      <c r="AG1" s="87" t="s">
        <v>17</v>
      </c>
      <c r="AH1" s="88" t="s">
        <v>45</v>
      </c>
      <c r="AI1" s="86" t="s">
        <v>33</v>
      </c>
      <c r="AJ1" s="86" t="s">
        <v>51</v>
      </c>
      <c r="AK1" s="88" t="s">
        <v>22</v>
      </c>
      <c r="AL1" s="88" t="s">
        <v>23</v>
      </c>
      <c r="AM1" s="87" t="s">
        <v>24</v>
      </c>
      <c r="AN1" s="87" t="s">
        <v>37</v>
      </c>
      <c r="AO1" s="87" t="s">
        <v>38</v>
      </c>
      <c r="AP1" s="87" t="s">
        <v>39</v>
      </c>
      <c r="AQ1" s="87" t="s">
        <v>40</v>
      </c>
      <c r="AR1" s="87" t="s">
        <v>46</v>
      </c>
      <c r="AS1" s="87" t="s">
        <v>43</v>
      </c>
      <c r="AT1" s="87" t="s">
        <v>44</v>
      </c>
      <c r="AU1" s="87"/>
      <c r="AV1" s="87"/>
      <c r="AW1" s="86"/>
      <c r="AX1" s="89"/>
      <c r="AY1" s="89"/>
      <c r="BA1" s="89"/>
      <c r="BB1" s="86"/>
      <c r="BC1" s="89"/>
      <c r="BD1" s="89"/>
      <c r="BE1" s="86"/>
      <c r="BF1" s="89"/>
      <c r="BJ1" s="89"/>
      <c r="BK1" s="86"/>
      <c r="BL1" s="89"/>
      <c r="BN1" s="89"/>
      <c r="BO1" s="86"/>
      <c r="BR1" s="89"/>
      <c r="BV1" s="88"/>
      <c r="BW1" s="89"/>
      <c r="BX1" s="89"/>
    </row>
    <row r="2" spans="1:76" s="98" customFormat="1" ht="15">
      <c r="A2" s="91">
        <v>17</v>
      </c>
      <c r="B2" s="91" t="s">
        <v>34</v>
      </c>
      <c r="C2" s="91" t="s">
        <v>60</v>
      </c>
      <c r="D2" s="98" t="s">
        <v>106</v>
      </c>
      <c r="E2" s="99" t="s">
        <v>84</v>
      </c>
      <c r="F2" s="91" t="s">
        <v>135</v>
      </c>
      <c r="G2" s="100">
        <v>41683</v>
      </c>
      <c r="H2" s="100"/>
      <c r="I2" s="100">
        <v>41949</v>
      </c>
      <c r="J2" s="101">
        <v>42060</v>
      </c>
      <c r="K2" s="94" t="s">
        <v>123</v>
      </c>
      <c r="L2" s="95">
        <f aca="true" t="shared" si="0" ref="L2:L23">J2-G2</f>
        <v>377</v>
      </c>
      <c r="M2" s="95">
        <v>602</v>
      </c>
      <c r="N2" s="95">
        <v>660</v>
      </c>
      <c r="O2" s="95">
        <v>662</v>
      </c>
      <c r="P2" s="102">
        <f aca="true" t="shared" si="1" ref="P2:P23">AVERAGE(N2:O2)</f>
        <v>661</v>
      </c>
      <c r="Q2" s="103"/>
      <c r="R2" s="102"/>
      <c r="S2" s="103"/>
      <c r="T2" s="104"/>
      <c r="U2" s="103"/>
      <c r="V2" s="119">
        <v>1050</v>
      </c>
      <c r="W2" s="102">
        <v>1060</v>
      </c>
      <c r="X2" s="103">
        <f aca="true" t="shared" si="2" ref="X2:X23">(V2+W2)/2</f>
        <v>1055</v>
      </c>
      <c r="Y2" s="104">
        <f aca="true" t="shared" si="3" ref="Y2:Y23">(X2/L2)</f>
        <v>2.7984084880636604</v>
      </c>
      <c r="Z2" s="103">
        <f aca="true" t="shared" si="4" ref="Z2:Z23">(X2-P2)</f>
        <v>394</v>
      </c>
      <c r="AA2" s="105">
        <f aca="true" t="shared" si="5" ref="AA2:AA23">(Z2/112)</f>
        <v>3.517857142857143</v>
      </c>
      <c r="AB2" s="106">
        <v>49</v>
      </c>
      <c r="AC2" s="106">
        <f aca="true" t="shared" si="6" ref="AC2:AC22">-11.548+0.4878*(AB2)-0.0289*(L2)+0.00001947*(L2*L2)+0.0000334*(AB3*L2)</f>
        <v>4.893517030000002</v>
      </c>
      <c r="AD2" s="118">
        <v>12.9175</v>
      </c>
      <c r="AE2" s="105">
        <f aca="true" t="shared" si="7" ref="AE2:AE23">AD2/X2*100</f>
        <v>1.2244075829383887</v>
      </c>
      <c r="AF2" s="118">
        <v>0.23236</v>
      </c>
      <c r="AG2" s="118">
        <v>4.59826</v>
      </c>
      <c r="AH2" s="106">
        <v>32</v>
      </c>
      <c r="AI2" s="103">
        <v>1</v>
      </c>
      <c r="AJ2" s="103">
        <v>6</v>
      </c>
      <c r="AK2" s="106">
        <v>14</v>
      </c>
      <c r="AL2" s="106">
        <v>12</v>
      </c>
      <c r="AM2" s="105">
        <f aca="true" t="shared" si="8" ref="AM2:AM23">(AK2*AL2)</f>
        <v>168</v>
      </c>
      <c r="AN2" s="105">
        <f>(AA2/2.71)*100</f>
        <v>129.8102266736953</v>
      </c>
      <c r="AO2" s="104">
        <f>(AE2/1.14)*100</f>
        <v>107.40417394196393</v>
      </c>
      <c r="AP2" s="105">
        <f>(Y2/2.94)*100</f>
        <v>95.18396217903607</v>
      </c>
      <c r="AQ2" s="104">
        <f>(AG2/3.55)*100</f>
        <v>129.52845070422535</v>
      </c>
      <c r="AR2" s="105">
        <f>(AH2/35.4)*100</f>
        <v>90.3954802259887</v>
      </c>
      <c r="AS2" s="105">
        <f>(AN2*0.3)+(AO2*0.2)+(AP2*0.2)+(AQ2*0.2)+(AR2*0.1)</f>
        <v>114.40593338975252</v>
      </c>
      <c r="AT2" s="91"/>
      <c r="AU2" s="91"/>
      <c r="AV2" s="91"/>
      <c r="AW2" s="107"/>
      <c r="AX2" s="108"/>
      <c r="AY2" s="108"/>
      <c r="AZ2" s="108"/>
      <c r="BA2" s="108"/>
      <c r="BB2" s="107"/>
      <c r="BC2" s="108"/>
      <c r="BD2" s="108"/>
      <c r="BE2" s="107"/>
      <c r="BF2" s="108"/>
      <c r="BG2" s="108"/>
      <c r="BH2" s="108"/>
      <c r="BI2" s="108"/>
      <c r="BJ2" s="108"/>
      <c r="BK2" s="107"/>
      <c r="BL2" s="108"/>
      <c r="BM2" s="108"/>
      <c r="BN2" s="108"/>
      <c r="BO2" s="107"/>
      <c r="BP2" s="108"/>
      <c r="BQ2" s="107"/>
      <c r="BR2" s="108"/>
      <c r="BS2" s="108"/>
      <c r="BT2" s="108"/>
      <c r="BU2" s="108"/>
      <c r="BV2" s="109"/>
      <c r="BW2" s="108"/>
      <c r="BX2" s="108"/>
    </row>
    <row r="3" spans="1:76" ht="15">
      <c r="A3" s="91">
        <v>8</v>
      </c>
      <c r="B3" s="91" t="s">
        <v>34</v>
      </c>
      <c r="C3" s="91" t="s">
        <v>60</v>
      </c>
      <c r="D3" s="98" t="s">
        <v>105</v>
      </c>
      <c r="E3" s="99" t="s">
        <v>75</v>
      </c>
      <c r="F3" s="91" t="s">
        <v>64</v>
      </c>
      <c r="G3" s="100">
        <v>41695</v>
      </c>
      <c r="I3" s="100">
        <v>41949</v>
      </c>
      <c r="J3" s="101">
        <v>42060</v>
      </c>
      <c r="K3" s="94" t="s">
        <v>119</v>
      </c>
      <c r="L3" s="95">
        <f t="shared" si="0"/>
        <v>365</v>
      </c>
      <c r="M3" s="95">
        <v>626</v>
      </c>
      <c r="N3" s="95">
        <v>678</v>
      </c>
      <c r="O3" s="95">
        <v>674</v>
      </c>
      <c r="P3" s="102">
        <f t="shared" si="1"/>
        <v>676</v>
      </c>
      <c r="Q3" s="103"/>
      <c r="S3" s="103"/>
      <c r="T3" s="104"/>
      <c r="U3" s="103"/>
      <c r="V3" s="119">
        <v>994</v>
      </c>
      <c r="W3" s="102">
        <v>998</v>
      </c>
      <c r="X3" s="103">
        <f t="shared" si="2"/>
        <v>996</v>
      </c>
      <c r="Y3" s="104">
        <f t="shared" si="3"/>
        <v>2.728767123287671</v>
      </c>
      <c r="Z3" s="103">
        <f t="shared" si="4"/>
        <v>320</v>
      </c>
      <c r="AA3" s="105">
        <f t="shared" si="5"/>
        <v>2.857142857142857</v>
      </c>
      <c r="AB3" s="106">
        <v>53</v>
      </c>
      <c r="AC3" s="106">
        <f t="shared" si="6"/>
        <v>6.942054250000002</v>
      </c>
      <c r="AD3" s="118">
        <v>11.4438</v>
      </c>
      <c r="AE3" s="105">
        <f t="shared" si="7"/>
        <v>1.1489759036144578</v>
      </c>
      <c r="AF3" s="118">
        <v>0.176797</v>
      </c>
      <c r="AG3" s="118">
        <v>3.61646</v>
      </c>
      <c r="AH3" s="106">
        <v>32</v>
      </c>
      <c r="AI3" s="103">
        <v>5</v>
      </c>
      <c r="AJ3" s="103">
        <v>6</v>
      </c>
      <c r="AK3" s="106">
        <v>15.5</v>
      </c>
      <c r="AL3" s="106">
        <v>12.5</v>
      </c>
      <c r="AM3" s="105">
        <f t="shared" si="8"/>
        <v>193.75</v>
      </c>
      <c r="AN3" s="105">
        <f aca="true" t="shared" si="9" ref="AN3:AN23">(AA3/2.71)*100</f>
        <v>105.42962572482868</v>
      </c>
      <c r="AO3" s="104">
        <f aca="true" t="shared" si="10" ref="AO3:AO23">(AE3/1.14)*100</f>
        <v>100.78735996618052</v>
      </c>
      <c r="AP3" s="105">
        <f aca="true" t="shared" si="11" ref="AP3:AP23">(Y3/2.94)*100</f>
        <v>92.81520827509085</v>
      </c>
      <c r="AQ3" s="104">
        <f aca="true" t="shared" si="12" ref="AQ3:AQ23">(AG3/3.55)*100</f>
        <v>101.87211267605633</v>
      </c>
      <c r="AR3" s="105">
        <f aca="true" t="shared" si="13" ref="AR3:AR23">(AH3/35.4)*100</f>
        <v>90.3954802259887</v>
      </c>
      <c r="AS3" s="105">
        <f aca="true" t="shared" si="14" ref="AS3:AS23">(AN3*0.3)+(AO3*0.2)+(AP3*0.2)+(AQ3*0.2)+(AR3*0.1)</f>
        <v>99.763371923513</v>
      </c>
      <c r="AW3" s="107"/>
      <c r="AX3" s="108"/>
      <c r="AY3" s="108"/>
      <c r="AZ3" s="108"/>
      <c r="BA3" s="108"/>
      <c r="BB3" s="107"/>
      <c r="BC3" s="108"/>
      <c r="BD3" s="108"/>
      <c r="BE3" s="107"/>
      <c r="BF3" s="108"/>
      <c r="BG3" s="108"/>
      <c r="BH3" s="108"/>
      <c r="BI3" s="108"/>
      <c r="BJ3" s="108"/>
      <c r="BK3" s="107"/>
      <c r="BL3" s="108"/>
      <c r="BM3" s="108"/>
      <c r="BN3" s="108"/>
      <c r="BO3" s="107"/>
      <c r="BP3" s="108"/>
      <c r="BQ3" s="107"/>
      <c r="BR3" s="108"/>
      <c r="BS3" s="108"/>
      <c r="BT3" s="108"/>
      <c r="BU3" s="108"/>
      <c r="BV3" s="109"/>
      <c r="BW3" s="108"/>
      <c r="BX3" s="108"/>
    </row>
    <row r="4" spans="1:76" s="98" customFormat="1" ht="15">
      <c r="A4" s="91">
        <v>12</v>
      </c>
      <c r="B4" s="91" t="s">
        <v>34</v>
      </c>
      <c r="C4" s="91" t="s">
        <v>60</v>
      </c>
      <c r="D4" s="91" t="s">
        <v>65</v>
      </c>
      <c r="E4" s="99" t="s">
        <v>79</v>
      </c>
      <c r="F4" s="91" t="s">
        <v>136</v>
      </c>
      <c r="G4" s="100">
        <v>41749</v>
      </c>
      <c r="H4" s="100"/>
      <c r="I4" s="100">
        <v>41949</v>
      </c>
      <c r="J4" s="101">
        <v>42060</v>
      </c>
      <c r="K4" s="94" t="s">
        <v>121</v>
      </c>
      <c r="L4" s="95">
        <f t="shared" si="0"/>
        <v>311</v>
      </c>
      <c r="M4" s="95">
        <v>558</v>
      </c>
      <c r="N4" s="95">
        <v>570</v>
      </c>
      <c r="O4" s="95">
        <v>562</v>
      </c>
      <c r="P4" s="102">
        <f t="shared" si="1"/>
        <v>566</v>
      </c>
      <c r="Q4" s="103"/>
      <c r="R4" s="102"/>
      <c r="S4" s="103"/>
      <c r="T4" s="104"/>
      <c r="U4" s="103"/>
      <c r="V4" s="119">
        <v>780</v>
      </c>
      <c r="W4" s="102">
        <v>794</v>
      </c>
      <c r="X4" s="103">
        <f t="shared" si="2"/>
        <v>787</v>
      </c>
      <c r="Y4" s="104">
        <f t="shared" si="3"/>
        <v>2.530546623794212</v>
      </c>
      <c r="Z4" s="103">
        <f t="shared" si="4"/>
        <v>221</v>
      </c>
      <c r="AA4" s="105">
        <f t="shared" si="5"/>
        <v>1.9732142857142858</v>
      </c>
      <c r="AB4" s="106">
        <v>48.5</v>
      </c>
      <c r="AC4" s="106">
        <f t="shared" si="6"/>
        <v>5.535315270000001</v>
      </c>
      <c r="AD4" s="118">
        <v>8.44638</v>
      </c>
      <c r="AE4" s="105">
        <f t="shared" si="7"/>
        <v>1.0732376111817026</v>
      </c>
      <c r="AF4" s="118">
        <v>0.108338</v>
      </c>
      <c r="AG4" s="118">
        <v>3.32935</v>
      </c>
      <c r="AH4" s="106">
        <v>27</v>
      </c>
      <c r="AI4" s="103">
        <v>3</v>
      </c>
      <c r="AJ4" s="103">
        <v>5</v>
      </c>
      <c r="AK4" s="106">
        <v>14</v>
      </c>
      <c r="AL4" s="106">
        <v>11</v>
      </c>
      <c r="AM4" s="105">
        <f t="shared" si="8"/>
        <v>154</v>
      </c>
      <c r="AN4" s="105">
        <f t="shared" si="9"/>
        <v>72.8123352662098</v>
      </c>
      <c r="AO4" s="104">
        <f t="shared" si="10"/>
        <v>94.14365010365813</v>
      </c>
      <c r="AP4" s="105">
        <f t="shared" si="11"/>
        <v>86.07301441476912</v>
      </c>
      <c r="AQ4" s="104">
        <f t="shared" si="12"/>
        <v>93.78450704225352</v>
      </c>
      <c r="AR4" s="105">
        <f t="shared" si="13"/>
        <v>76.27118644067798</v>
      </c>
      <c r="AS4" s="105">
        <f t="shared" si="14"/>
        <v>84.27105353606689</v>
      </c>
      <c r="AT4" s="91"/>
      <c r="AU4" s="91"/>
      <c r="AV4" s="91"/>
      <c r="AW4" s="95"/>
      <c r="AX4" s="91"/>
      <c r="AY4" s="91"/>
      <c r="AZ4" s="91"/>
      <c r="BA4" s="113"/>
      <c r="BB4" s="95"/>
      <c r="BC4" s="113"/>
      <c r="BD4" s="113"/>
      <c r="BE4" s="95"/>
      <c r="BF4" s="95"/>
      <c r="BG4" s="91"/>
      <c r="BH4" s="91"/>
      <c r="BI4" s="91"/>
      <c r="BJ4" s="113"/>
      <c r="BK4" s="95"/>
      <c r="BL4" s="113"/>
      <c r="BM4" s="113"/>
      <c r="BN4" s="91"/>
      <c r="BO4" s="91"/>
      <c r="BP4" s="91"/>
      <c r="BQ4" s="91"/>
      <c r="BR4" s="113"/>
      <c r="BS4" s="91"/>
      <c r="BT4" s="91"/>
      <c r="BU4" s="91"/>
      <c r="BV4" s="97"/>
      <c r="BW4" s="113"/>
      <c r="BX4" s="113"/>
    </row>
    <row r="5" spans="1:76" ht="15">
      <c r="A5" s="91">
        <v>37</v>
      </c>
      <c r="B5" s="91" t="s">
        <v>34</v>
      </c>
      <c r="C5" s="91" t="s">
        <v>60</v>
      </c>
      <c r="D5" s="98" t="s">
        <v>130</v>
      </c>
      <c r="E5" s="99" t="s">
        <v>131</v>
      </c>
      <c r="F5" s="91" t="s">
        <v>134</v>
      </c>
      <c r="G5" s="100">
        <v>41710</v>
      </c>
      <c r="I5" s="100">
        <v>41949</v>
      </c>
      <c r="J5" s="101">
        <v>42060</v>
      </c>
      <c r="K5" s="94" t="s">
        <v>132</v>
      </c>
      <c r="L5" s="95">
        <f t="shared" si="0"/>
        <v>350</v>
      </c>
      <c r="M5" s="133"/>
      <c r="N5" s="95">
        <v>630</v>
      </c>
      <c r="O5" s="95">
        <v>634</v>
      </c>
      <c r="P5" s="102">
        <f t="shared" si="1"/>
        <v>632</v>
      </c>
      <c r="Q5" s="103"/>
      <c r="S5" s="103"/>
      <c r="T5" s="104"/>
      <c r="U5" s="103"/>
      <c r="V5" s="119">
        <v>968</v>
      </c>
      <c r="W5" s="102">
        <v>962</v>
      </c>
      <c r="X5" s="103">
        <f t="shared" si="2"/>
        <v>965</v>
      </c>
      <c r="Y5" s="104">
        <f t="shared" si="3"/>
        <v>2.757142857142857</v>
      </c>
      <c r="Z5" s="103">
        <f t="shared" si="4"/>
        <v>333</v>
      </c>
      <c r="AA5" s="105">
        <f t="shared" si="5"/>
        <v>2.9732142857142856</v>
      </c>
      <c r="AB5" s="106">
        <v>51</v>
      </c>
      <c r="AC5" s="106">
        <f t="shared" si="6"/>
        <v>6.196065000000001</v>
      </c>
      <c r="AD5" s="118">
        <v>11.2028</v>
      </c>
      <c r="AE5" s="105">
        <f t="shared" si="7"/>
        <v>1.1609119170984454</v>
      </c>
      <c r="AF5" s="118">
        <v>0.281876</v>
      </c>
      <c r="AG5" s="118">
        <v>4.26109</v>
      </c>
      <c r="AH5" s="106">
        <v>32</v>
      </c>
      <c r="AI5" s="103">
        <v>3</v>
      </c>
      <c r="AJ5" s="103">
        <v>6</v>
      </c>
      <c r="AK5" s="106">
        <v>15</v>
      </c>
      <c r="AL5" s="106">
        <v>10</v>
      </c>
      <c r="AM5" s="105">
        <f t="shared" si="8"/>
        <v>150</v>
      </c>
      <c r="AN5" s="105">
        <f t="shared" si="9"/>
        <v>109.71270426989983</v>
      </c>
      <c r="AO5" s="104">
        <f t="shared" si="10"/>
        <v>101.8343786928461</v>
      </c>
      <c r="AP5" s="105">
        <f t="shared" si="11"/>
        <v>93.78036929057338</v>
      </c>
      <c r="AQ5" s="104">
        <f t="shared" si="12"/>
        <v>120.03070422535214</v>
      </c>
      <c r="AR5" s="105">
        <f t="shared" si="13"/>
        <v>90.3954802259887</v>
      </c>
      <c r="AS5" s="105">
        <f t="shared" si="14"/>
        <v>105.08244974532315</v>
      </c>
      <c r="AW5" s="107"/>
      <c r="AX5" s="108"/>
      <c r="AY5" s="108"/>
      <c r="AZ5" s="108"/>
      <c r="BA5" s="108"/>
      <c r="BB5" s="107"/>
      <c r="BC5" s="108"/>
      <c r="BD5" s="108"/>
      <c r="BE5" s="107"/>
      <c r="BF5" s="108"/>
      <c r="BG5" s="108"/>
      <c r="BH5" s="108"/>
      <c r="BI5" s="108"/>
      <c r="BJ5" s="108"/>
      <c r="BK5" s="107"/>
      <c r="BL5" s="108"/>
      <c r="BM5" s="108"/>
      <c r="BN5" s="108"/>
      <c r="BO5" s="107"/>
      <c r="BP5" s="108"/>
      <c r="BQ5" s="107"/>
      <c r="BR5" s="108"/>
      <c r="BS5" s="108"/>
      <c r="BT5" s="108"/>
      <c r="BU5" s="108"/>
      <c r="BV5" s="109"/>
      <c r="BW5" s="108"/>
      <c r="BX5" s="108"/>
    </row>
    <row r="6" spans="1:76" ht="15">
      <c r="A6" s="91">
        <v>10</v>
      </c>
      <c r="B6" s="91" t="s">
        <v>34</v>
      </c>
      <c r="C6" s="91" t="s">
        <v>60</v>
      </c>
      <c r="D6" s="98" t="s">
        <v>57</v>
      </c>
      <c r="E6" s="99" t="s">
        <v>77</v>
      </c>
      <c r="F6" s="91" t="s">
        <v>134</v>
      </c>
      <c r="G6" s="100">
        <v>41712</v>
      </c>
      <c r="I6" s="100">
        <v>41949</v>
      </c>
      <c r="J6" s="101">
        <v>42060</v>
      </c>
      <c r="K6" s="94" t="s">
        <v>120</v>
      </c>
      <c r="L6" s="95">
        <f t="shared" si="0"/>
        <v>348</v>
      </c>
      <c r="M6" s="95">
        <v>662</v>
      </c>
      <c r="N6" s="95">
        <v>686</v>
      </c>
      <c r="O6" s="95">
        <v>680</v>
      </c>
      <c r="P6" s="102">
        <f t="shared" si="1"/>
        <v>683</v>
      </c>
      <c r="Q6" s="103"/>
      <c r="S6" s="103"/>
      <c r="T6" s="104"/>
      <c r="U6" s="103"/>
      <c r="V6" s="119">
        <v>1050</v>
      </c>
      <c r="W6" s="102">
        <v>1055</v>
      </c>
      <c r="X6" s="103">
        <f t="shared" si="2"/>
        <v>1052.5</v>
      </c>
      <c r="Y6" s="104">
        <f t="shared" si="3"/>
        <v>3.0244252873563218</v>
      </c>
      <c r="Z6" s="103">
        <f t="shared" si="4"/>
        <v>369.5</v>
      </c>
      <c r="AA6" s="105">
        <f t="shared" si="5"/>
        <v>3.299107142857143</v>
      </c>
      <c r="AB6" s="106">
        <v>51</v>
      </c>
      <c r="AC6" s="106">
        <f t="shared" si="6"/>
        <v>6.21165488</v>
      </c>
      <c r="AD6" s="118">
        <v>10.5249</v>
      </c>
      <c r="AE6" s="105">
        <f t="shared" si="7"/>
        <v>0.9999904988123516</v>
      </c>
      <c r="AF6" s="118">
        <v>0.247985</v>
      </c>
      <c r="AG6" s="118">
        <v>3.37674</v>
      </c>
      <c r="AH6" s="106">
        <v>30</v>
      </c>
      <c r="AI6" s="103">
        <v>3</v>
      </c>
      <c r="AJ6" s="103">
        <v>6</v>
      </c>
      <c r="AK6" s="106">
        <v>16</v>
      </c>
      <c r="AL6" s="106">
        <v>11</v>
      </c>
      <c r="AM6" s="105">
        <f t="shared" si="8"/>
        <v>176</v>
      </c>
      <c r="AN6" s="105">
        <f t="shared" si="9"/>
        <v>121.73827095413812</v>
      </c>
      <c r="AO6" s="104">
        <f t="shared" si="10"/>
        <v>87.71846480810103</v>
      </c>
      <c r="AP6" s="105">
        <f t="shared" si="11"/>
        <v>102.87160841348033</v>
      </c>
      <c r="AQ6" s="104">
        <f t="shared" si="12"/>
        <v>95.11943661971831</v>
      </c>
      <c r="AR6" s="105">
        <f t="shared" si="13"/>
        <v>84.74576271186442</v>
      </c>
      <c r="AS6" s="105">
        <f t="shared" si="14"/>
        <v>102.1379595256878</v>
      </c>
      <c r="AW6" s="107"/>
      <c r="AX6" s="108"/>
      <c r="AY6" s="108"/>
      <c r="AZ6" s="108"/>
      <c r="BA6" s="108"/>
      <c r="BB6" s="107"/>
      <c r="BC6" s="108"/>
      <c r="BD6" s="108"/>
      <c r="BE6" s="107"/>
      <c r="BF6" s="108"/>
      <c r="BG6" s="108"/>
      <c r="BH6" s="108"/>
      <c r="BI6" s="108"/>
      <c r="BJ6" s="108"/>
      <c r="BK6" s="107"/>
      <c r="BL6" s="108"/>
      <c r="BM6" s="108"/>
      <c r="BN6" s="108"/>
      <c r="BO6" s="107"/>
      <c r="BP6" s="108"/>
      <c r="BQ6" s="107"/>
      <c r="BR6" s="108"/>
      <c r="BS6" s="108"/>
      <c r="BT6" s="108"/>
      <c r="BU6" s="108"/>
      <c r="BV6" s="109"/>
      <c r="BW6" s="108"/>
      <c r="BX6" s="108"/>
    </row>
    <row r="7" spans="1:76" s="98" customFormat="1" ht="15">
      <c r="A7" s="91">
        <v>9</v>
      </c>
      <c r="B7" s="91" t="s">
        <v>34</v>
      </c>
      <c r="C7" s="91" t="s">
        <v>60</v>
      </c>
      <c r="D7" s="98" t="s">
        <v>57</v>
      </c>
      <c r="E7" s="99" t="s">
        <v>76</v>
      </c>
      <c r="F7" s="91" t="s">
        <v>134</v>
      </c>
      <c r="G7" s="100">
        <v>41731</v>
      </c>
      <c r="H7" s="100"/>
      <c r="I7" s="100">
        <v>41949</v>
      </c>
      <c r="J7" s="101">
        <v>42060</v>
      </c>
      <c r="K7" s="94" t="s">
        <v>120</v>
      </c>
      <c r="L7" s="95">
        <f t="shared" si="0"/>
        <v>329</v>
      </c>
      <c r="M7" s="95">
        <v>854</v>
      </c>
      <c r="N7" s="95">
        <v>716</v>
      </c>
      <c r="O7" s="95">
        <v>720</v>
      </c>
      <c r="P7" s="102">
        <f t="shared" si="1"/>
        <v>718</v>
      </c>
      <c r="Q7" s="103"/>
      <c r="R7" s="102"/>
      <c r="S7" s="103"/>
      <c r="T7" s="104"/>
      <c r="U7" s="103"/>
      <c r="V7" s="119">
        <v>1010</v>
      </c>
      <c r="W7" s="102">
        <v>1015</v>
      </c>
      <c r="X7" s="103">
        <f t="shared" si="2"/>
        <v>1012.5</v>
      </c>
      <c r="Y7" s="104">
        <f t="shared" si="3"/>
        <v>3.0775075987841944</v>
      </c>
      <c r="Z7" s="103">
        <f t="shared" si="4"/>
        <v>294.5</v>
      </c>
      <c r="AA7" s="105">
        <f t="shared" si="5"/>
        <v>2.6294642857142856</v>
      </c>
      <c r="AB7" s="112">
        <v>50</v>
      </c>
      <c r="AC7" s="106">
        <f t="shared" si="6"/>
        <v>6.023748070000002</v>
      </c>
      <c r="AD7" s="118">
        <v>10.9118</v>
      </c>
      <c r="AE7" s="105">
        <f t="shared" si="7"/>
        <v>1.0777086419753086</v>
      </c>
      <c r="AF7" s="118">
        <v>0.219437</v>
      </c>
      <c r="AG7" s="118">
        <v>3.59388</v>
      </c>
      <c r="AH7" s="106">
        <v>32</v>
      </c>
      <c r="AI7" s="103">
        <v>3</v>
      </c>
      <c r="AJ7" s="103">
        <v>6</v>
      </c>
      <c r="AK7" s="106">
        <v>16</v>
      </c>
      <c r="AL7" s="106">
        <v>12</v>
      </c>
      <c r="AM7" s="105">
        <f t="shared" si="8"/>
        <v>192</v>
      </c>
      <c r="AN7" s="105">
        <f t="shared" si="9"/>
        <v>97.0282024248814</v>
      </c>
      <c r="AO7" s="104">
        <f t="shared" si="10"/>
        <v>94.53584578730778</v>
      </c>
      <c r="AP7" s="105">
        <f t="shared" si="11"/>
        <v>104.67712921034675</v>
      </c>
      <c r="AQ7" s="104">
        <f t="shared" si="12"/>
        <v>101.23605633802816</v>
      </c>
      <c r="AR7" s="105">
        <f t="shared" si="13"/>
        <v>90.3954802259887</v>
      </c>
      <c r="AS7" s="105">
        <f t="shared" si="14"/>
        <v>98.23781501719982</v>
      </c>
      <c r="AT7" s="91"/>
      <c r="AU7" s="91"/>
      <c r="AV7" s="91"/>
      <c r="AW7" s="107"/>
      <c r="AX7" s="108"/>
      <c r="AY7" s="108"/>
      <c r="AZ7" s="108"/>
      <c r="BA7" s="108"/>
      <c r="BB7" s="107"/>
      <c r="BC7" s="108"/>
      <c r="BD7" s="108"/>
      <c r="BE7" s="95"/>
      <c r="BF7" s="108"/>
      <c r="BG7" s="108"/>
      <c r="BH7" s="108"/>
      <c r="BI7" s="108"/>
      <c r="BJ7" s="108"/>
      <c r="BK7" s="107"/>
      <c r="BL7" s="108"/>
      <c r="BM7" s="108"/>
      <c r="BN7" s="108"/>
      <c r="BO7" s="107"/>
      <c r="BP7" s="108"/>
      <c r="BQ7" s="107"/>
      <c r="BR7" s="108"/>
      <c r="BS7" s="108"/>
      <c r="BT7" s="108"/>
      <c r="BU7" s="108"/>
      <c r="BV7" s="109"/>
      <c r="BW7" s="108"/>
      <c r="BX7" s="108"/>
    </row>
    <row r="8" spans="1:76" ht="15">
      <c r="A8" s="91">
        <v>14</v>
      </c>
      <c r="B8" s="91" t="s">
        <v>34</v>
      </c>
      <c r="C8" s="91" t="s">
        <v>60</v>
      </c>
      <c r="D8" s="98" t="s">
        <v>63</v>
      </c>
      <c r="E8" s="99" t="s">
        <v>81</v>
      </c>
      <c r="F8" s="91" t="s">
        <v>134</v>
      </c>
      <c r="G8" s="100">
        <v>41697</v>
      </c>
      <c r="I8" s="100">
        <v>41949</v>
      </c>
      <c r="J8" s="101">
        <v>42060</v>
      </c>
      <c r="K8" s="94" t="s">
        <v>122</v>
      </c>
      <c r="L8" s="95">
        <f t="shared" si="0"/>
        <v>363</v>
      </c>
      <c r="M8" s="95">
        <v>766</v>
      </c>
      <c r="N8" s="95">
        <v>772</v>
      </c>
      <c r="O8" s="95">
        <v>754</v>
      </c>
      <c r="P8" s="102">
        <f t="shared" si="1"/>
        <v>763</v>
      </c>
      <c r="Q8" s="103"/>
      <c r="S8" s="103"/>
      <c r="T8" s="104"/>
      <c r="U8" s="103"/>
      <c r="V8" s="119">
        <v>1210</v>
      </c>
      <c r="W8" s="102">
        <v>1225</v>
      </c>
      <c r="X8" s="103">
        <f t="shared" si="2"/>
        <v>1217.5</v>
      </c>
      <c r="Y8" s="104">
        <f t="shared" si="3"/>
        <v>3.3539944903581267</v>
      </c>
      <c r="Z8" s="103">
        <f t="shared" si="4"/>
        <v>454.5</v>
      </c>
      <c r="AA8" s="105">
        <f t="shared" si="5"/>
        <v>4.058035714285714</v>
      </c>
      <c r="AB8" s="106">
        <v>53</v>
      </c>
      <c r="AC8" s="106">
        <f t="shared" si="6"/>
        <v>6.974328230000001</v>
      </c>
      <c r="AD8" s="118">
        <v>12.8478</v>
      </c>
      <c r="AE8" s="105">
        <f t="shared" si="7"/>
        <v>1.0552607802874743</v>
      </c>
      <c r="AF8" s="118">
        <v>0.213503</v>
      </c>
      <c r="AG8" s="118">
        <v>3.34515</v>
      </c>
      <c r="AH8" s="112">
        <v>40</v>
      </c>
      <c r="AI8" s="103">
        <v>3</v>
      </c>
      <c r="AJ8" s="103">
        <v>6</v>
      </c>
      <c r="AK8" s="112">
        <v>16</v>
      </c>
      <c r="AL8" s="112">
        <v>12</v>
      </c>
      <c r="AM8" s="105">
        <f t="shared" si="8"/>
        <v>192</v>
      </c>
      <c r="AN8" s="105">
        <f t="shared" si="9"/>
        <v>149.74301528729575</v>
      </c>
      <c r="AO8" s="104">
        <f t="shared" si="10"/>
        <v>92.56673511293634</v>
      </c>
      <c r="AP8" s="105">
        <f t="shared" si="11"/>
        <v>114.08144525027642</v>
      </c>
      <c r="AQ8" s="104">
        <f t="shared" si="12"/>
        <v>94.22957746478873</v>
      </c>
      <c r="AR8" s="105">
        <f t="shared" si="13"/>
        <v>112.99435028248588</v>
      </c>
      <c r="AS8" s="105">
        <f t="shared" si="14"/>
        <v>116.39789118003762</v>
      </c>
      <c r="AT8" s="91" t="s">
        <v>149</v>
      </c>
      <c r="AW8" s="107"/>
      <c r="AX8" s="108"/>
      <c r="AY8" s="108"/>
      <c r="AZ8" s="108"/>
      <c r="BA8" s="108"/>
      <c r="BB8" s="107"/>
      <c r="BC8" s="108"/>
      <c r="BD8" s="108"/>
      <c r="BE8" s="107"/>
      <c r="BF8" s="108"/>
      <c r="BG8" s="108"/>
      <c r="BH8" s="108"/>
      <c r="BI8" s="108"/>
      <c r="BJ8" s="108"/>
      <c r="BK8" s="107"/>
      <c r="BL8" s="108"/>
      <c r="BM8" s="108"/>
      <c r="BN8" s="108"/>
      <c r="BO8" s="107"/>
      <c r="BP8" s="108"/>
      <c r="BQ8" s="107"/>
      <c r="BR8" s="108"/>
      <c r="BS8" s="108"/>
      <c r="BT8" s="108"/>
      <c r="BU8" s="108"/>
      <c r="BV8" s="109"/>
      <c r="BW8" s="108"/>
      <c r="BX8" s="108"/>
    </row>
    <row r="9" spans="1:76" s="98" customFormat="1" ht="15">
      <c r="A9" s="91">
        <v>16</v>
      </c>
      <c r="B9" s="91" t="s">
        <v>34</v>
      </c>
      <c r="C9" s="91" t="s">
        <v>60</v>
      </c>
      <c r="D9" s="98" t="s">
        <v>63</v>
      </c>
      <c r="E9" s="99" t="s">
        <v>83</v>
      </c>
      <c r="F9" s="91" t="s">
        <v>134</v>
      </c>
      <c r="G9" s="100">
        <v>41726</v>
      </c>
      <c r="H9" s="100"/>
      <c r="I9" s="100">
        <v>41949</v>
      </c>
      <c r="J9" s="101">
        <v>42060</v>
      </c>
      <c r="K9" s="94" t="s">
        <v>122</v>
      </c>
      <c r="L9" s="95">
        <f t="shared" si="0"/>
        <v>334</v>
      </c>
      <c r="M9" s="95">
        <v>608</v>
      </c>
      <c r="N9" s="95">
        <v>622</v>
      </c>
      <c r="O9" s="95">
        <v>620</v>
      </c>
      <c r="P9" s="102">
        <f t="shared" si="1"/>
        <v>621</v>
      </c>
      <c r="Q9" s="103"/>
      <c r="R9" s="102"/>
      <c r="S9" s="103"/>
      <c r="T9" s="104"/>
      <c r="U9" s="103"/>
      <c r="V9" s="119">
        <v>896</v>
      </c>
      <c r="W9" s="103">
        <v>900</v>
      </c>
      <c r="X9" s="103">
        <f t="shared" si="2"/>
        <v>898</v>
      </c>
      <c r="Y9" s="104">
        <f t="shared" si="3"/>
        <v>2.688622754491018</v>
      </c>
      <c r="Z9" s="103">
        <f t="shared" si="4"/>
        <v>277</v>
      </c>
      <c r="AA9" s="105">
        <f t="shared" si="5"/>
        <v>2.4732142857142856</v>
      </c>
      <c r="AB9" s="112">
        <v>49</v>
      </c>
      <c r="AC9" s="106">
        <f t="shared" si="6"/>
        <v>5.436953120000002</v>
      </c>
      <c r="AD9" s="118">
        <v>10.9752</v>
      </c>
      <c r="AE9" s="105">
        <f t="shared" si="7"/>
        <v>1.2221826280623607</v>
      </c>
      <c r="AF9" s="118">
        <v>0.171822</v>
      </c>
      <c r="AG9" s="118">
        <v>3.46178</v>
      </c>
      <c r="AH9" s="106">
        <v>38</v>
      </c>
      <c r="AI9" s="103">
        <v>3</v>
      </c>
      <c r="AJ9" s="103">
        <v>5</v>
      </c>
      <c r="AK9" s="106">
        <v>15.5</v>
      </c>
      <c r="AL9" s="106">
        <v>12</v>
      </c>
      <c r="AM9" s="105">
        <f t="shared" si="8"/>
        <v>186</v>
      </c>
      <c r="AN9" s="105">
        <f t="shared" si="9"/>
        <v>91.26251976805482</v>
      </c>
      <c r="AO9" s="104">
        <f t="shared" si="10"/>
        <v>107.20900246161061</v>
      </c>
      <c r="AP9" s="105">
        <f t="shared" si="11"/>
        <v>91.44975355411627</v>
      </c>
      <c r="AQ9" s="104">
        <f t="shared" si="12"/>
        <v>97.5149295774648</v>
      </c>
      <c r="AR9" s="105">
        <f t="shared" si="13"/>
        <v>107.34463276836159</v>
      </c>
      <c r="AS9" s="105">
        <f t="shared" si="14"/>
        <v>97.34795632589092</v>
      </c>
      <c r="AT9" s="91"/>
      <c r="AU9" s="91"/>
      <c r="AV9" s="91"/>
      <c r="AW9" s="95"/>
      <c r="AX9" s="91"/>
      <c r="AY9" s="91"/>
      <c r="AZ9" s="91"/>
      <c r="BA9" s="113"/>
      <c r="BB9" s="95"/>
      <c r="BC9" s="113"/>
      <c r="BD9" s="113"/>
      <c r="BE9" s="95"/>
      <c r="BF9" s="95"/>
      <c r="BG9" s="91"/>
      <c r="BH9" s="91"/>
      <c r="BI9" s="91"/>
      <c r="BJ9" s="113"/>
      <c r="BK9" s="95"/>
      <c r="BL9" s="113"/>
      <c r="BM9" s="113"/>
      <c r="BN9" s="91"/>
      <c r="BO9" s="91"/>
      <c r="BP9" s="91"/>
      <c r="BQ9" s="91"/>
      <c r="BR9" s="113"/>
      <c r="BS9" s="91"/>
      <c r="BT9" s="91"/>
      <c r="BU9" s="91"/>
      <c r="BV9" s="97"/>
      <c r="BW9" s="113"/>
      <c r="BX9" s="113"/>
    </row>
    <row r="10" spans="1:76" s="98" customFormat="1" ht="15">
      <c r="A10" s="91">
        <v>15</v>
      </c>
      <c r="B10" s="91" t="s">
        <v>34</v>
      </c>
      <c r="C10" s="91" t="s">
        <v>60</v>
      </c>
      <c r="D10" s="98" t="s">
        <v>63</v>
      </c>
      <c r="E10" s="99" t="s">
        <v>82</v>
      </c>
      <c r="F10" s="91" t="s">
        <v>134</v>
      </c>
      <c r="G10" s="114">
        <v>41730</v>
      </c>
      <c r="H10" s="100"/>
      <c r="I10" s="100">
        <v>41949</v>
      </c>
      <c r="J10" s="101">
        <v>42060</v>
      </c>
      <c r="K10" s="94" t="s">
        <v>122</v>
      </c>
      <c r="L10" s="95">
        <f t="shared" si="0"/>
        <v>330</v>
      </c>
      <c r="M10" s="95">
        <v>684</v>
      </c>
      <c r="N10" s="95">
        <v>726</v>
      </c>
      <c r="O10" s="95">
        <v>716</v>
      </c>
      <c r="P10" s="102">
        <f t="shared" si="1"/>
        <v>721</v>
      </c>
      <c r="Q10" s="103"/>
      <c r="R10" s="102"/>
      <c r="S10" s="103"/>
      <c r="T10" s="104"/>
      <c r="U10" s="103"/>
      <c r="V10" s="119">
        <v>1065</v>
      </c>
      <c r="W10" s="103">
        <v>1070</v>
      </c>
      <c r="X10" s="103">
        <f t="shared" si="2"/>
        <v>1067.5</v>
      </c>
      <c r="Y10" s="104">
        <f t="shared" si="3"/>
        <v>3.234848484848485</v>
      </c>
      <c r="Z10" s="103">
        <f t="shared" si="4"/>
        <v>346.5</v>
      </c>
      <c r="AA10" s="105">
        <f t="shared" si="5"/>
        <v>3.09375</v>
      </c>
      <c r="AB10" s="112">
        <v>50.5</v>
      </c>
      <c r="AC10" s="106">
        <f t="shared" si="6"/>
        <v>6.275393000000002</v>
      </c>
      <c r="AD10" s="118">
        <v>12.7735</v>
      </c>
      <c r="AE10" s="105">
        <f t="shared" si="7"/>
        <v>1.1965807962529273</v>
      </c>
      <c r="AF10" s="118">
        <v>0.134977</v>
      </c>
      <c r="AG10" s="118">
        <v>3.43128</v>
      </c>
      <c r="AH10" s="112">
        <v>37</v>
      </c>
      <c r="AI10" s="103">
        <v>4</v>
      </c>
      <c r="AJ10" s="103">
        <v>6</v>
      </c>
      <c r="AK10" s="112">
        <v>15</v>
      </c>
      <c r="AL10" s="112">
        <v>12</v>
      </c>
      <c r="AM10" s="105">
        <f t="shared" si="8"/>
        <v>180</v>
      </c>
      <c r="AN10" s="105">
        <f t="shared" si="9"/>
        <v>114.16051660516607</v>
      </c>
      <c r="AO10" s="104">
        <f t="shared" si="10"/>
        <v>104.96322774148486</v>
      </c>
      <c r="AP10" s="105">
        <f t="shared" si="11"/>
        <v>110.02886002886004</v>
      </c>
      <c r="AQ10" s="104">
        <f t="shared" si="12"/>
        <v>96.65577464788733</v>
      </c>
      <c r="AR10" s="105">
        <f t="shared" si="13"/>
        <v>104.51977401129943</v>
      </c>
      <c r="AS10" s="105">
        <f t="shared" si="14"/>
        <v>107.02970486632623</v>
      </c>
      <c r="AT10" s="91" t="s">
        <v>150</v>
      </c>
      <c r="AU10" s="91"/>
      <c r="AV10" s="91"/>
      <c r="AW10" s="95"/>
      <c r="AX10" s="91"/>
      <c r="AY10" s="91"/>
      <c r="AZ10" s="91"/>
      <c r="BA10" s="113"/>
      <c r="BB10" s="95"/>
      <c r="BC10" s="113"/>
      <c r="BD10" s="113"/>
      <c r="BE10" s="95"/>
      <c r="BF10" s="95"/>
      <c r="BG10" s="91"/>
      <c r="BH10" s="91"/>
      <c r="BI10" s="91"/>
      <c r="BJ10" s="113"/>
      <c r="BK10" s="95"/>
      <c r="BL10" s="113"/>
      <c r="BM10" s="113"/>
      <c r="BN10" s="91"/>
      <c r="BO10" s="91"/>
      <c r="BP10" s="91"/>
      <c r="BQ10" s="91"/>
      <c r="BR10" s="113"/>
      <c r="BS10" s="91"/>
      <c r="BT10" s="91"/>
      <c r="BU10" s="91"/>
      <c r="BV10" s="97"/>
      <c r="BW10" s="113"/>
      <c r="BX10" s="113"/>
    </row>
    <row r="11" spans="1:76" s="98" customFormat="1" ht="15">
      <c r="A11" s="91">
        <v>20</v>
      </c>
      <c r="B11" s="91" t="s">
        <v>34</v>
      </c>
      <c r="C11" s="91" t="s">
        <v>60</v>
      </c>
      <c r="D11" s="91" t="s">
        <v>107</v>
      </c>
      <c r="E11" s="99" t="s">
        <v>87</v>
      </c>
      <c r="F11" s="91" t="s">
        <v>134</v>
      </c>
      <c r="G11" s="100">
        <v>41660</v>
      </c>
      <c r="H11" s="100"/>
      <c r="I11" s="100">
        <v>41949</v>
      </c>
      <c r="J11" s="101">
        <v>42060</v>
      </c>
      <c r="K11" s="111" t="s">
        <v>124</v>
      </c>
      <c r="L11" s="95">
        <f t="shared" si="0"/>
        <v>400</v>
      </c>
      <c r="M11" s="95">
        <v>918</v>
      </c>
      <c r="N11" s="95">
        <v>918</v>
      </c>
      <c r="O11" s="95">
        <v>924</v>
      </c>
      <c r="P11" s="102">
        <f t="shared" si="1"/>
        <v>921</v>
      </c>
      <c r="Q11" s="103"/>
      <c r="R11" s="102"/>
      <c r="S11" s="103"/>
      <c r="T11" s="104"/>
      <c r="U11" s="103"/>
      <c r="V11" s="119">
        <v>1270</v>
      </c>
      <c r="W11" s="102">
        <v>1280</v>
      </c>
      <c r="X11" s="103">
        <f t="shared" si="2"/>
        <v>1275</v>
      </c>
      <c r="Y11" s="104">
        <f t="shared" si="3"/>
        <v>3.1875</v>
      </c>
      <c r="Z11" s="103">
        <f t="shared" si="4"/>
        <v>354</v>
      </c>
      <c r="AA11" s="105">
        <f t="shared" si="5"/>
        <v>3.1607142857142856</v>
      </c>
      <c r="AB11" s="112">
        <v>55</v>
      </c>
      <c r="AC11" s="106">
        <f t="shared" si="6"/>
        <v>7.517560000000001</v>
      </c>
      <c r="AD11" s="118">
        <v>13.368</v>
      </c>
      <c r="AE11" s="105">
        <f t="shared" si="7"/>
        <v>1.048470588235294</v>
      </c>
      <c r="AF11" s="118">
        <v>0.205662</v>
      </c>
      <c r="AG11" s="118">
        <v>3.36223</v>
      </c>
      <c r="AH11" s="112">
        <v>38</v>
      </c>
      <c r="AI11" s="103">
        <v>3</v>
      </c>
      <c r="AJ11" s="103">
        <v>7</v>
      </c>
      <c r="AK11" s="112">
        <v>16</v>
      </c>
      <c r="AL11" s="112">
        <v>12</v>
      </c>
      <c r="AM11" s="105">
        <f t="shared" si="8"/>
        <v>192</v>
      </c>
      <c r="AN11" s="105">
        <f t="shared" si="9"/>
        <v>116.6315234580917</v>
      </c>
      <c r="AO11" s="104">
        <f t="shared" si="10"/>
        <v>91.97110423116615</v>
      </c>
      <c r="AP11" s="105">
        <f t="shared" si="11"/>
        <v>108.41836734693877</v>
      </c>
      <c r="AQ11" s="104">
        <f t="shared" si="12"/>
        <v>94.71070422535212</v>
      </c>
      <c r="AR11" s="105">
        <f t="shared" si="13"/>
        <v>107.34463276836159</v>
      </c>
      <c r="AS11" s="105">
        <f t="shared" si="14"/>
        <v>104.7439554749551</v>
      </c>
      <c r="AT11" s="91"/>
      <c r="AU11" s="91"/>
      <c r="AV11" s="91"/>
      <c r="AW11" s="107"/>
      <c r="AX11" s="108"/>
      <c r="AY11" s="108"/>
      <c r="AZ11" s="108"/>
      <c r="BA11" s="108"/>
      <c r="BB11" s="107"/>
      <c r="BC11" s="108"/>
      <c r="BD11" s="108"/>
      <c r="BE11" s="107"/>
      <c r="BF11" s="108"/>
      <c r="BG11" s="108"/>
      <c r="BH11" s="108"/>
      <c r="BI11" s="108"/>
      <c r="BJ11" s="108"/>
      <c r="BK11" s="107"/>
      <c r="BL11" s="108"/>
      <c r="BM11" s="108"/>
      <c r="BN11" s="108"/>
      <c r="BO11" s="107"/>
      <c r="BP11" s="108"/>
      <c r="BQ11" s="107"/>
      <c r="BR11" s="108"/>
      <c r="BS11" s="108"/>
      <c r="BT11" s="108"/>
      <c r="BU11" s="108"/>
      <c r="BV11" s="109"/>
      <c r="BW11" s="108"/>
      <c r="BX11" s="108"/>
    </row>
    <row r="12" spans="1:76" ht="15">
      <c r="A12" s="91">
        <v>19</v>
      </c>
      <c r="B12" s="91" t="s">
        <v>34</v>
      </c>
      <c r="C12" s="91" t="s">
        <v>60</v>
      </c>
      <c r="D12" s="98" t="s">
        <v>107</v>
      </c>
      <c r="E12" s="110" t="s">
        <v>86</v>
      </c>
      <c r="F12" s="91" t="s">
        <v>134</v>
      </c>
      <c r="G12" s="100">
        <v>41664</v>
      </c>
      <c r="I12" s="100">
        <v>41949</v>
      </c>
      <c r="J12" s="101">
        <v>42060</v>
      </c>
      <c r="K12" s="111" t="s">
        <v>124</v>
      </c>
      <c r="L12" s="95">
        <f t="shared" si="0"/>
        <v>396</v>
      </c>
      <c r="M12" s="95">
        <v>874</v>
      </c>
      <c r="N12" s="95">
        <v>918</v>
      </c>
      <c r="O12" s="95">
        <v>934</v>
      </c>
      <c r="P12" s="102">
        <f t="shared" si="1"/>
        <v>926</v>
      </c>
      <c r="Q12" s="103"/>
      <c r="S12" s="103"/>
      <c r="T12" s="104"/>
      <c r="U12" s="103"/>
      <c r="V12" s="119">
        <v>1195</v>
      </c>
      <c r="W12" s="102">
        <v>1200</v>
      </c>
      <c r="X12" s="103">
        <f t="shared" si="2"/>
        <v>1197.5</v>
      </c>
      <c r="Y12" s="104">
        <f t="shared" si="3"/>
        <v>3.023989898989899</v>
      </c>
      <c r="Z12" s="103">
        <f t="shared" si="4"/>
        <v>271.5</v>
      </c>
      <c r="AA12" s="105">
        <f t="shared" si="5"/>
        <v>2.424107142857143</v>
      </c>
      <c r="AB12" s="106">
        <v>51</v>
      </c>
      <c r="AC12" s="106">
        <f t="shared" si="6"/>
        <v>5.593314320000001</v>
      </c>
      <c r="AD12" s="118">
        <v>13.4555</v>
      </c>
      <c r="AE12" s="105">
        <f t="shared" si="7"/>
        <v>1.1236325678496868</v>
      </c>
      <c r="AF12" s="118">
        <v>0.151386</v>
      </c>
      <c r="AG12" s="118">
        <v>3.56987</v>
      </c>
      <c r="AH12" s="106">
        <v>39</v>
      </c>
      <c r="AI12" s="103">
        <v>2</v>
      </c>
      <c r="AJ12" s="103">
        <v>6</v>
      </c>
      <c r="AK12" s="106">
        <v>16</v>
      </c>
      <c r="AL12" s="106">
        <v>12</v>
      </c>
      <c r="AM12" s="105">
        <f t="shared" si="8"/>
        <v>192</v>
      </c>
      <c r="AN12" s="105">
        <f t="shared" si="9"/>
        <v>89.45044807590932</v>
      </c>
      <c r="AO12" s="104">
        <f t="shared" si="10"/>
        <v>98.56426033769183</v>
      </c>
      <c r="AP12" s="105">
        <f t="shared" si="11"/>
        <v>102.8567992853707</v>
      </c>
      <c r="AQ12" s="104">
        <f t="shared" si="12"/>
        <v>100.55971830985915</v>
      </c>
      <c r="AR12" s="105">
        <f t="shared" si="13"/>
        <v>110.16949152542372</v>
      </c>
      <c r="AS12" s="105">
        <f t="shared" si="14"/>
        <v>98.2482391618995</v>
      </c>
      <c r="AW12" s="107"/>
      <c r="AX12" s="108"/>
      <c r="AY12" s="108"/>
      <c r="AZ12" s="108"/>
      <c r="BA12" s="108"/>
      <c r="BB12" s="107"/>
      <c r="BC12" s="108"/>
      <c r="BD12" s="108"/>
      <c r="BE12" s="107"/>
      <c r="BF12" s="108"/>
      <c r="BG12" s="108"/>
      <c r="BH12" s="108"/>
      <c r="BI12" s="108"/>
      <c r="BJ12" s="108"/>
      <c r="BK12" s="107"/>
      <c r="BL12" s="108"/>
      <c r="BM12" s="108"/>
      <c r="BN12" s="108"/>
      <c r="BO12" s="107"/>
      <c r="BP12" s="108"/>
      <c r="BQ12" s="107"/>
      <c r="BR12" s="108"/>
      <c r="BS12" s="108"/>
      <c r="BT12" s="108"/>
      <c r="BU12" s="108"/>
      <c r="BV12" s="109"/>
      <c r="BW12" s="108"/>
      <c r="BX12" s="108"/>
    </row>
    <row r="13" spans="1:76" ht="15">
      <c r="A13" s="91">
        <v>25</v>
      </c>
      <c r="B13" s="91" t="s">
        <v>34</v>
      </c>
      <c r="C13" s="91" t="s">
        <v>60</v>
      </c>
      <c r="D13" s="98" t="s">
        <v>108</v>
      </c>
      <c r="E13" s="99" t="s">
        <v>144</v>
      </c>
      <c r="F13" s="91" t="s">
        <v>59</v>
      </c>
      <c r="G13" s="100">
        <v>41704</v>
      </c>
      <c r="I13" s="100">
        <v>41949</v>
      </c>
      <c r="J13" s="101">
        <v>42060</v>
      </c>
      <c r="K13" s="94" t="s">
        <v>126</v>
      </c>
      <c r="L13" s="95">
        <f t="shared" si="0"/>
        <v>356</v>
      </c>
      <c r="M13" s="95">
        <v>654</v>
      </c>
      <c r="N13" s="95">
        <v>714</v>
      </c>
      <c r="O13" s="95">
        <v>716</v>
      </c>
      <c r="P13" s="102">
        <f t="shared" si="1"/>
        <v>715</v>
      </c>
      <c r="Q13" s="103"/>
      <c r="S13" s="103"/>
      <c r="T13" s="104"/>
      <c r="U13" s="103"/>
      <c r="V13" s="119">
        <v>900</v>
      </c>
      <c r="W13" s="102">
        <v>926</v>
      </c>
      <c r="X13" s="103">
        <f t="shared" si="2"/>
        <v>913</v>
      </c>
      <c r="Y13" s="104">
        <f t="shared" si="3"/>
        <v>2.5646067415730336</v>
      </c>
      <c r="Z13" s="103">
        <f t="shared" si="4"/>
        <v>198</v>
      </c>
      <c r="AA13" s="105">
        <f t="shared" si="5"/>
        <v>1.7678571428571428</v>
      </c>
      <c r="AB13" s="106">
        <v>49.5</v>
      </c>
      <c r="AC13" s="106">
        <f t="shared" si="6"/>
        <v>5.383660320000001</v>
      </c>
      <c r="AD13" s="118">
        <v>11.1934</v>
      </c>
      <c r="AE13" s="105">
        <f t="shared" si="7"/>
        <v>1.2260021905805039</v>
      </c>
      <c r="AF13" s="118">
        <v>0.086642</v>
      </c>
      <c r="AG13" s="118">
        <v>3.07464</v>
      </c>
      <c r="AH13" s="112">
        <v>35</v>
      </c>
      <c r="AI13" s="103">
        <v>3</v>
      </c>
      <c r="AJ13" s="103">
        <v>5</v>
      </c>
      <c r="AK13" s="112">
        <v>14</v>
      </c>
      <c r="AL13" s="112">
        <v>12</v>
      </c>
      <c r="AM13" s="105">
        <f t="shared" si="8"/>
        <v>168</v>
      </c>
      <c r="AN13" s="105">
        <f t="shared" si="9"/>
        <v>65.23458091723774</v>
      </c>
      <c r="AO13" s="104">
        <f t="shared" si="10"/>
        <v>107.54405180530738</v>
      </c>
      <c r="AP13" s="105">
        <f t="shared" si="11"/>
        <v>87.23152182221203</v>
      </c>
      <c r="AQ13" s="104">
        <f t="shared" si="12"/>
        <v>86.60957746478873</v>
      </c>
      <c r="AR13" s="105">
        <f t="shared" si="13"/>
        <v>98.87005649717514</v>
      </c>
      <c r="AS13" s="105">
        <f t="shared" si="14"/>
        <v>85.73441014335046</v>
      </c>
      <c r="AW13" s="107"/>
      <c r="AX13" s="108"/>
      <c r="AY13" s="108"/>
      <c r="AZ13" s="108"/>
      <c r="BA13" s="108"/>
      <c r="BB13" s="107"/>
      <c r="BC13" s="108"/>
      <c r="BD13" s="108"/>
      <c r="BE13" s="107"/>
      <c r="BF13" s="108"/>
      <c r="BG13" s="108"/>
      <c r="BH13" s="108"/>
      <c r="BI13" s="108"/>
      <c r="BJ13" s="108"/>
      <c r="BK13" s="107"/>
      <c r="BL13" s="108"/>
      <c r="BM13" s="108"/>
      <c r="BN13" s="108"/>
      <c r="BO13" s="107"/>
      <c r="BP13" s="108"/>
      <c r="BQ13" s="107"/>
      <c r="BR13" s="108"/>
      <c r="BS13" s="108"/>
      <c r="BT13" s="108"/>
      <c r="BU13" s="108"/>
      <c r="BV13" s="109"/>
      <c r="BW13" s="108"/>
      <c r="BX13" s="108"/>
    </row>
    <row r="14" spans="1:76" ht="15">
      <c r="A14" s="91">
        <v>23</v>
      </c>
      <c r="B14" s="91" t="s">
        <v>34</v>
      </c>
      <c r="C14" s="91" t="s">
        <v>60</v>
      </c>
      <c r="D14" s="91" t="s">
        <v>61</v>
      </c>
      <c r="E14" s="99" t="s">
        <v>90</v>
      </c>
      <c r="F14" s="91" t="s">
        <v>59</v>
      </c>
      <c r="G14" s="100">
        <v>41685</v>
      </c>
      <c r="I14" s="100">
        <v>41949</v>
      </c>
      <c r="J14" s="101">
        <v>42060</v>
      </c>
      <c r="K14" s="94" t="s">
        <v>125</v>
      </c>
      <c r="L14" s="95">
        <f t="shared" si="0"/>
        <v>375</v>
      </c>
      <c r="M14" s="95">
        <v>638</v>
      </c>
      <c r="N14" s="95">
        <v>736</v>
      </c>
      <c r="O14" s="95">
        <v>724</v>
      </c>
      <c r="P14" s="102">
        <f t="shared" si="1"/>
        <v>730</v>
      </c>
      <c r="Q14" s="103"/>
      <c r="S14" s="103"/>
      <c r="T14" s="104"/>
      <c r="U14" s="103"/>
      <c r="V14" s="119">
        <v>1035</v>
      </c>
      <c r="W14" s="102">
        <v>1030</v>
      </c>
      <c r="X14" s="103">
        <f t="shared" si="2"/>
        <v>1032.5</v>
      </c>
      <c r="Y14" s="104">
        <f t="shared" si="3"/>
        <v>2.7533333333333334</v>
      </c>
      <c r="Z14" s="103">
        <f t="shared" si="4"/>
        <v>302.5</v>
      </c>
      <c r="AA14" s="105">
        <f t="shared" si="5"/>
        <v>2.700892857142857</v>
      </c>
      <c r="AB14" s="106">
        <v>51</v>
      </c>
      <c r="AC14" s="106">
        <f t="shared" si="6"/>
        <v>5.86278125</v>
      </c>
      <c r="AD14" s="118">
        <v>11.7439</v>
      </c>
      <c r="AE14" s="105">
        <f t="shared" si="7"/>
        <v>1.1374237288135594</v>
      </c>
      <c r="AF14" s="118">
        <v>0.169668</v>
      </c>
      <c r="AG14" s="118">
        <v>3.72358</v>
      </c>
      <c r="AH14" s="106">
        <v>35</v>
      </c>
      <c r="AI14" s="103">
        <v>3</v>
      </c>
      <c r="AJ14" s="103">
        <v>6</v>
      </c>
      <c r="AK14" s="106">
        <v>14.5</v>
      </c>
      <c r="AL14" s="106">
        <v>12</v>
      </c>
      <c r="AM14" s="105">
        <f t="shared" si="8"/>
        <v>174</v>
      </c>
      <c r="AN14" s="105">
        <f t="shared" si="9"/>
        <v>99.66394306800211</v>
      </c>
      <c r="AO14" s="104">
        <f t="shared" si="10"/>
        <v>99.77401129943505</v>
      </c>
      <c r="AP14" s="105">
        <f t="shared" si="11"/>
        <v>93.65079365079364</v>
      </c>
      <c r="AQ14" s="104">
        <f t="shared" si="12"/>
        <v>104.88957746478873</v>
      </c>
      <c r="AR14" s="105">
        <f t="shared" si="13"/>
        <v>98.87005649717514</v>
      </c>
      <c r="AS14" s="105">
        <f t="shared" si="14"/>
        <v>99.44906505312164</v>
      </c>
      <c r="AW14" s="107"/>
      <c r="AX14" s="108"/>
      <c r="AY14" s="108"/>
      <c r="AZ14" s="108"/>
      <c r="BA14" s="108"/>
      <c r="BB14" s="107"/>
      <c r="BC14" s="108"/>
      <c r="BD14" s="108"/>
      <c r="BE14" s="107"/>
      <c r="BF14" s="108"/>
      <c r="BG14" s="108"/>
      <c r="BH14" s="108"/>
      <c r="BI14" s="108"/>
      <c r="BJ14" s="108"/>
      <c r="BK14" s="107"/>
      <c r="BL14" s="108"/>
      <c r="BM14" s="108"/>
      <c r="BN14" s="108"/>
      <c r="BO14" s="107"/>
      <c r="BP14" s="108"/>
      <c r="BQ14" s="107"/>
      <c r="BR14" s="108"/>
      <c r="BS14" s="108"/>
      <c r="BT14" s="108"/>
      <c r="BU14" s="108"/>
      <c r="BV14" s="109"/>
      <c r="BW14" s="108"/>
      <c r="BX14" s="108"/>
    </row>
    <row r="15" spans="1:76" ht="15">
      <c r="A15" s="91">
        <v>22</v>
      </c>
      <c r="B15" s="91" t="s">
        <v>34</v>
      </c>
      <c r="C15" s="91" t="s">
        <v>60</v>
      </c>
      <c r="D15" s="91" t="s">
        <v>61</v>
      </c>
      <c r="E15" s="110" t="s">
        <v>89</v>
      </c>
      <c r="F15" s="91" t="s">
        <v>59</v>
      </c>
      <c r="G15" s="100">
        <v>41689</v>
      </c>
      <c r="I15" s="100">
        <v>41949</v>
      </c>
      <c r="J15" s="101">
        <v>42060</v>
      </c>
      <c r="K15" s="111" t="s">
        <v>125</v>
      </c>
      <c r="L15" s="95">
        <f t="shared" si="0"/>
        <v>371</v>
      </c>
      <c r="M15" s="95">
        <v>692</v>
      </c>
      <c r="N15" s="95">
        <v>800</v>
      </c>
      <c r="O15" s="95">
        <v>796</v>
      </c>
      <c r="P15" s="102">
        <f t="shared" si="1"/>
        <v>798</v>
      </c>
      <c r="Q15" s="103"/>
      <c r="S15" s="103"/>
      <c r="T15" s="104"/>
      <c r="U15" s="103"/>
      <c r="V15" s="119">
        <v>1175</v>
      </c>
      <c r="W15" s="102">
        <v>1195</v>
      </c>
      <c r="X15" s="103">
        <f t="shared" si="2"/>
        <v>1185</v>
      </c>
      <c r="Y15" s="104">
        <f t="shared" si="3"/>
        <v>3.1940700808625335</v>
      </c>
      <c r="Z15" s="103">
        <f t="shared" si="4"/>
        <v>387</v>
      </c>
      <c r="AA15" s="105">
        <f t="shared" si="5"/>
        <v>3.455357142857143</v>
      </c>
      <c r="AB15" s="106">
        <v>50.5</v>
      </c>
      <c r="AC15" s="106">
        <f t="shared" si="6"/>
        <v>5.682027370000001</v>
      </c>
      <c r="AD15" s="118">
        <v>12.9728</v>
      </c>
      <c r="AE15" s="105">
        <f t="shared" si="7"/>
        <v>1.0947510548523207</v>
      </c>
      <c r="AF15" s="118">
        <v>0.208194</v>
      </c>
      <c r="AG15" s="118">
        <v>3.72254</v>
      </c>
      <c r="AH15" s="106">
        <v>41</v>
      </c>
      <c r="AI15" s="103">
        <v>2</v>
      </c>
      <c r="AJ15" s="103">
        <v>5</v>
      </c>
      <c r="AK15" s="106">
        <v>14</v>
      </c>
      <c r="AL15" s="106">
        <v>10</v>
      </c>
      <c r="AM15" s="105">
        <f t="shared" si="8"/>
        <v>140</v>
      </c>
      <c r="AN15" s="105">
        <f t="shared" si="9"/>
        <v>127.50395361096467</v>
      </c>
      <c r="AO15" s="104">
        <f t="shared" si="10"/>
        <v>96.0307942852913</v>
      </c>
      <c r="AP15" s="105">
        <f t="shared" si="11"/>
        <v>108.64183948512019</v>
      </c>
      <c r="AQ15" s="104">
        <f t="shared" si="12"/>
        <v>104.86028169014085</v>
      </c>
      <c r="AR15" s="105">
        <f t="shared" si="13"/>
        <v>115.81920903954803</v>
      </c>
      <c r="AS15" s="105">
        <f t="shared" si="14"/>
        <v>111.73969007935466</v>
      </c>
      <c r="AT15" s="91" t="s">
        <v>151</v>
      </c>
      <c r="AW15" s="107"/>
      <c r="AX15" s="108"/>
      <c r="AY15" s="108"/>
      <c r="AZ15" s="108"/>
      <c r="BA15" s="108"/>
      <c r="BB15" s="107"/>
      <c r="BC15" s="108"/>
      <c r="BD15" s="108"/>
      <c r="BF15" s="108"/>
      <c r="BG15" s="108"/>
      <c r="BH15" s="108"/>
      <c r="BI15" s="108"/>
      <c r="BJ15" s="108"/>
      <c r="BK15" s="107"/>
      <c r="BL15" s="108"/>
      <c r="BM15" s="108"/>
      <c r="BN15" s="108"/>
      <c r="BO15" s="107"/>
      <c r="BP15" s="108"/>
      <c r="BQ15" s="107"/>
      <c r="BR15" s="108"/>
      <c r="BS15" s="108"/>
      <c r="BT15" s="108"/>
      <c r="BU15" s="108"/>
      <c r="BV15" s="109"/>
      <c r="BW15" s="108"/>
      <c r="BX15" s="108"/>
    </row>
    <row r="16" spans="1:76" ht="15">
      <c r="A16" s="91">
        <v>33</v>
      </c>
      <c r="B16" s="91" t="s">
        <v>34</v>
      </c>
      <c r="C16" s="91" t="s">
        <v>60</v>
      </c>
      <c r="D16" s="98" t="s">
        <v>110</v>
      </c>
      <c r="E16" s="99" t="s">
        <v>99</v>
      </c>
      <c r="F16" s="91" t="s">
        <v>59</v>
      </c>
      <c r="G16" s="100">
        <v>41747</v>
      </c>
      <c r="I16" s="100">
        <v>41949</v>
      </c>
      <c r="J16" s="101">
        <v>42060</v>
      </c>
      <c r="K16" s="94" t="s">
        <v>128</v>
      </c>
      <c r="L16" s="95">
        <f t="shared" si="0"/>
        <v>313</v>
      </c>
      <c r="M16" s="95">
        <v>588</v>
      </c>
      <c r="N16" s="95">
        <v>628</v>
      </c>
      <c r="O16" s="95">
        <v>626</v>
      </c>
      <c r="P16" s="102">
        <f t="shared" si="1"/>
        <v>627</v>
      </c>
      <c r="Q16" s="103"/>
      <c r="S16" s="103"/>
      <c r="T16" s="104"/>
      <c r="U16" s="103"/>
      <c r="V16" s="119">
        <v>974</v>
      </c>
      <c r="W16" s="103">
        <v>980</v>
      </c>
      <c r="X16" s="103">
        <f t="shared" si="2"/>
        <v>977</v>
      </c>
      <c r="Y16" s="104">
        <f t="shared" si="3"/>
        <v>3.121405750798722</v>
      </c>
      <c r="Z16" s="103">
        <f t="shared" si="4"/>
        <v>350</v>
      </c>
      <c r="AA16" s="105">
        <f t="shared" si="5"/>
        <v>3.125</v>
      </c>
      <c r="AB16" s="112">
        <v>51.5</v>
      </c>
      <c r="AC16" s="106">
        <f t="shared" si="6"/>
        <v>6.95816643</v>
      </c>
      <c r="AD16" s="118">
        <v>11.0018</v>
      </c>
      <c r="AE16" s="105">
        <f t="shared" si="7"/>
        <v>1.1260798362333675</v>
      </c>
      <c r="AF16" s="118">
        <v>0.186805</v>
      </c>
      <c r="AG16" s="118">
        <v>3.78813</v>
      </c>
      <c r="AH16" s="106">
        <v>34</v>
      </c>
      <c r="AI16" s="103">
        <v>3</v>
      </c>
      <c r="AJ16" s="103">
        <v>6</v>
      </c>
      <c r="AK16" s="106">
        <v>14</v>
      </c>
      <c r="AL16" s="106">
        <v>12</v>
      </c>
      <c r="AM16" s="105">
        <f t="shared" si="8"/>
        <v>168</v>
      </c>
      <c r="AN16" s="105">
        <f t="shared" si="9"/>
        <v>115.31365313653137</v>
      </c>
      <c r="AO16" s="104">
        <f t="shared" si="10"/>
        <v>98.77893300292698</v>
      </c>
      <c r="AP16" s="105">
        <f t="shared" si="11"/>
        <v>106.17026363260959</v>
      </c>
      <c r="AQ16" s="104">
        <f t="shared" si="12"/>
        <v>106.70788732394368</v>
      </c>
      <c r="AR16" s="105">
        <f t="shared" si="13"/>
        <v>96.045197740113</v>
      </c>
      <c r="AS16" s="105">
        <f t="shared" si="14"/>
        <v>106.53003250686677</v>
      </c>
      <c r="AT16" s="91" t="s">
        <v>152</v>
      </c>
      <c r="AW16" s="107"/>
      <c r="AX16" s="108"/>
      <c r="AY16" s="108"/>
      <c r="AZ16" s="108"/>
      <c r="BA16" s="108"/>
      <c r="BB16" s="107"/>
      <c r="BC16" s="108"/>
      <c r="BD16" s="108"/>
      <c r="BE16" s="107"/>
      <c r="BF16" s="108"/>
      <c r="BG16" s="108"/>
      <c r="BH16" s="108"/>
      <c r="BI16" s="108"/>
      <c r="BJ16" s="108"/>
      <c r="BK16" s="107"/>
      <c r="BL16" s="108"/>
      <c r="BM16" s="108"/>
      <c r="BN16" s="108"/>
      <c r="BO16" s="107"/>
      <c r="BP16" s="108"/>
      <c r="BQ16" s="107"/>
      <c r="BR16" s="108"/>
      <c r="BS16" s="108"/>
      <c r="BT16" s="108"/>
      <c r="BU16" s="108"/>
      <c r="BV16" s="109"/>
      <c r="BW16" s="108"/>
      <c r="BX16" s="108"/>
    </row>
    <row r="17" spans="1:76" ht="15">
      <c r="A17" s="91">
        <v>34</v>
      </c>
      <c r="B17" s="91" t="s">
        <v>34</v>
      </c>
      <c r="C17" s="91" t="s">
        <v>60</v>
      </c>
      <c r="D17" s="98" t="s">
        <v>110</v>
      </c>
      <c r="E17" s="99" t="s">
        <v>100</v>
      </c>
      <c r="F17" s="91" t="s">
        <v>59</v>
      </c>
      <c r="G17" s="100">
        <v>41750</v>
      </c>
      <c r="I17" s="100">
        <v>41949</v>
      </c>
      <c r="J17" s="101">
        <v>42060</v>
      </c>
      <c r="K17" s="94" t="s">
        <v>128</v>
      </c>
      <c r="L17" s="95">
        <f t="shared" si="0"/>
        <v>310</v>
      </c>
      <c r="M17" s="107">
        <v>654</v>
      </c>
      <c r="N17" s="95">
        <v>708</v>
      </c>
      <c r="O17" s="95">
        <v>682</v>
      </c>
      <c r="P17" s="102">
        <f t="shared" si="1"/>
        <v>695</v>
      </c>
      <c r="Q17" s="103"/>
      <c r="S17" s="103"/>
      <c r="T17" s="104"/>
      <c r="U17" s="103"/>
      <c r="V17" s="119">
        <v>1010</v>
      </c>
      <c r="W17" s="102">
        <v>1020</v>
      </c>
      <c r="X17" s="103">
        <f t="shared" si="2"/>
        <v>1015</v>
      </c>
      <c r="Y17" s="104">
        <f t="shared" si="3"/>
        <v>3.274193548387097</v>
      </c>
      <c r="Z17" s="103">
        <f t="shared" si="4"/>
        <v>320</v>
      </c>
      <c r="AA17" s="105">
        <f t="shared" si="5"/>
        <v>2.857142857142857</v>
      </c>
      <c r="AB17" s="106">
        <v>50</v>
      </c>
      <c r="AC17" s="106">
        <f t="shared" si="6"/>
        <v>6.282121000000001</v>
      </c>
      <c r="AD17" s="118">
        <v>11.8096</v>
      </c>
      <c r="AE17" s="105">
        <f t="shared" si="7"/>
        <v>1.1635073891625614</v>
      </c>
      <c r="AF17" s="118">
        <v>0.171664</v>
      </c>
      <c r="AG17" s="118">
        <v>3.7444</v>
      </c>
      <c r="AH17" s="112">
        <v>31</v>
      </c>
      <c r="AI17" s="103">
        <v>3</v>
      </c>
      <c r="AJ17" s="103">
        <v>6</v>
      </c>
      <c r="AK17" s="112">
        <v>15</v>
      </c>
      <c r="AL17" s="112">
        <v>11</v>
      </c>
      <c r="AM17" s="105">
        <f t="shared" si="8"/>
        <v>165</v>
      </c>
      <c r="AN17" s="105">
        <f t="shared" si="9"/>
        <v>105.42962572482868</v>
      </c>
      <c r="AO17" s="104">
        <f t="shared" si="10"/>
        <v>102.06205168092643</v>
      </c>
      <c r="AP17" s="105">
        <f t="shared" si="11"/>
        <v>111.36712749615975</v>
      </c>
      <c r="AQ17" s="104">
        <f t="shared" si="12"/>
        <v>105.47605633802819</v>
      </c>
      <c r="AR17" s="105">
        <f t="shared" si="13"/>
        <v>87.57062146892656</v>
      </c>
      <c r="AS17" s="105">
        <f t="shared" si="14"/>
        <v>104.16699696736413</v>
      </c>
      <c r="AW17" s="107"/>
      <c r="AX17" s="108"/>
      <c r="AY17" s="108"/>
      <c r="AZ17" s="108"/>
      <c r="BA17" s="108"/>
      <c r="BB17" s="107"/>
      <c r="BC17" s="108"/>
      <c r="BD17" s="108"/>
      <c r="BE17" s="107"/>
      <c r="BF17" s="108"/>
      <c r="BG17" s="108"/>
      <c r="BH17" s="108"/>
      <c r="BI17" s="108"/>
      <c r="BJ17" s="108"/>
      <c r="BK17" s="107"/>
      <c r="BL17" s="108"/>
      <c r="BM17" s="108"/>
      <c r="BN17" s="108"/>
      <c r="BO17" s="107"/>
      <c r="BP17" s="108"/>
      <c r="BQ17" s="107"/>
      <c r="BR17" s="108"/>
      <c r="BS17" s="108"/>
      <c r="BT17" s="108"/>
      <c r="BU17" s="108"/>
      <c r="BV17" s="109"/>
      <c r="BW17" s="108"/>
      <c r="BX17" s="108"/>
    </row>
    <row r="18" spans="1:76" ht="15">
      <c r="A18" s="91">
        <v>35</v>
      </c>
      <c r="B18" s="91" t="s">
        <v>34</v>
      </c>
      <c r="C18" s="91" t="s">
        <v>60</v>
      </c>
      <c r="D18" s="98" t="s">
        <v>110</v>
      </c>
      <c r="E18" s="99" t="s">
        <v>101</v>
      </c>
      <c r="F18" s="91" t="s">
        <v>59</v>
      </c>
      <c r="G18" s="100">
        <v>41753</v>
      </c>
      <c r="I18" s="100">
        <v>41949</v>
      </c>
      <c r="J18" s="101">
        <v>42060</v>
      </c>
      <c r="K18" s="94" t="s">
        <v>128</v>
      </c>
      <c r="L18" s="95">
        <f t="shared" si="0"/>
        <v>307</v>
      </c>
      <c r="M18" s="95">
        <v>612</v>
      </c>
      <c r="N18" s="95">
        <v>650</v>
      </c>
      <c r="O18" s="95">
        <v>648</v>
      </c>
      <c r="P18" s="102">
        <f t="shared" si="1"/>
        <v>649</v>
      </c>
      <c r="Q18" s="103"/>
      <c r="S18" s="103"/>
      <c r="T18" s="104"/>
      <c r="U18" s="103"/>
      <c r="V18" s="119">
        <v>910</v>
      </c>
      <c r="W18" s="103">
        <v>934</v>
      </c>
      <c r="X18" s="103">
        <f t="shared" si="2"/>
        <v>922</v>
      </c>
      <c r="Y18" s="104">
        <f t="shared" si="3"/>
        <v>3.003257328990228</v>
      </c>
      <c r="Z18" s="103">
        <f t="shared" si="4"/>
        <v>273</v>
      </c>
      <c r="AA18" s="105">
        <f t="shared" si="5"/>
        <v>2.4375</v>
      </c>
      <c r="AB18" s="112">
        <v>51</v>
      </c>
      <c r="AC18" s="106">
        <f t="shared" si="6"/>
        <v>6.810344930000001</v>
      </c>
      <c r="AD18" s="118">
        <v>11.6086</v>
      </c>
      <c r="AE18" s="105">
        <f t="shared" si="7"/>
        <v>1.2590672451193057</v>
      </c>
      <c r="AF18" s="118">
        <v>0.183001</v>
      </c>
      <c r="AG18" s="118">
        <v>3.59029</v>
      </c>
      <c r="AH18" s="106">
        <v>40</v>
      </c>
      <c r="AI18" s="103">
        <v>2</v>
      </c>
      <c r="AJ18" s="103">
        <v>6</v>
      </c>
      <c r="AK18" s="106">
        <v>15</v>
      </c>
      <c r="AL18" s="106">
        <v>11</v>
      </c>
      <c r="AM18" s="105">
        <f t="shared" si="8"/>
        <v>165</v>
      </c>
      <c r="AN18" s="105">
        <f t="shared" si="9"/>
        <v>89.94464944649447</v>
      </c>
      <c r="AO18" s="104">
        <f t="shared" si="10"/>
        <v>110.44449518590402</v>
      </c>
      <c r="AP18" s="105">
        <f t="shared" si="11"/>
        <v>102.1516098295996</v>
      </c>
      <c r="AQ18" s="104">
        <f t="shared" si="12"/>
        <v>101.13492957746479</v>
      </c>
      <c r="AR18" s="105">
        <f t="shared" si="13"/>
        <v>112.99435028248588</v>
      </c>
      <c r="AS18" s="105">
        <f t="shared" si="14"/>
        <v>101.02903678079062</v>
      </c>
      <c r="AW18" s="107"/>
      <c r="AX18" s="108"/>
      <c r="AY18" s="108"/>
      <c r="AZ18" s="108"/>
      <c r="BA18" s="108"/>
      <c r="BB18" s="107"/>
      <c r="BC18" s="108"/>
      <c r="BD18" s="108"/>
      <c r="BF18" s="108"/>
      <c r="BG18" s="108"/>
      <c r="BH18" s="108"/>
      <c r="BI18" s="108"/>
      <c r="BJ18" s="108"/>
      <c r="BK18" s="107"/>
      <c r="BL18" s="108"/>
      <c r="BM18" s="108"/>
      <c r="BN18" s="108"/>
      <c r="BO18" s="107"/>
      <c r="BP18" s="108"/>
      <c r="BQ18" s="107"/>
      <c r="BR18" s="108"/>
      <c r="BS18" s="108"/>
      <c r="BT18" s="108"/>
      <c r="BU18" s="108"/>
      <c r="BV18" s="109"/>
      <c r="BW18" s="108"/>
      <c r="BX18" s="108"/>
    </row>
    <row r="19" spans="1:76" ht="15">
      <c r="A19" s="91">
        <v>31</v>
      </c>
      <c r="B19" s="91" t="s">
        <v>34</v>
      </c>
      <c r="C19" s="91" t="s">
        <v>60</v>
      </c>
      <c r="D19" s="98" t="s">
        <v>110</v>
      </c>
      <c r="E19" s="99" t="s">
        <v>97</v>
      </c>
      <c r="F19" s="91" t="s">
        <v>59</v>
      </c>
      <c r="G19" s="100">
        <v>41673</v>
      </c>
      <c r="I19" s="100">
        <v>41949</v>
      </c>
      <c r="J19" s="101">
        <v>42060</v>
      </c>
      <c r="K19" s="94" t="s">
        <v>128</v>
      </c>
      <c r="L19" s="95">
        <f t="shared" si="0"/>
        <v>387</v>
      </c>
      <c r="M19" s="95">
        <v>858</v>
      </c>
      <c r="N19" s="95">
        <v>906</v>
      </c>
      <c r="O19" s="95">
        <v>918</v>
      </c>
      <c r="P19" s="102">
        <f t="shared" si="1"/>
        <v>912</v>
      </c>
      <c r="Q19" s="103"/>
      <c r="S19" s="103"/>
      <c r="T19" s="104"/>
      <c r="U19" s="103"/>
      <c r="V19" s="119">
        <v>978</v>
      </c>
      <c r="W19" s="103">
        <v>982</v>
      </c>
      <c r="X19" s="103">
        <f t="shared" si="2"/>
        <v>980</v>
      </c>
      <c r="Y19" s="104">
        <f t="shared" si="3"/>
        <v>2.5322997416020674</v>
      </c>
      <c r="Z19" s="103">
        <f t="shared" si="4"/>
        <v>68</v>
      </c>
      <c r="AA19" s="105">
        <f t="shared" si="5"/>
        <v>0.6071428571428571</v>
      </c>
      <c r="AB19" s="112">
        <v>50.5</v>
      </c>
      <c r="AC19" s="106">
        <f t="shared" si="6"/>
        <v>5.476818230000003</v>
      </c>
      <c r="AD19" s="118">
        <v>10.5791</v>
      </c>
      <c r="AE19" s="105">
        <f t="shared" si="7"/>
        <v>1.0795000000000001</v>
      </c>
      <c r="AF19" s="118">
        <v>0.140728</v>
      </c>
      <c r="AG19" s="118">
        <v>3.96098</v>
      </c>
      <c r="AH19" s="106">
        <v>36</v>
      </c>
      <c r="AI19" s="103">
        <v>2</v>
      </c>
      <c r="AJ19" s="103">
        <v>5</v>
      </c>
      <c r="AK19" s="106">
        <v>15</v>
      </c>
      <c r="AL19" s="106">
        <v>12</v>
      </c>
      <c r="AM19" s="105">
        <f t="shared" si="8"/>
        <v>180</v>
      </c>
      <c r="AN19" s="105">
        <f t="shared" si="9"/>
        <v>22.40379546652609</v>
      </c>
      <c r="AO19" s="104">
        <f t="shared" si="10"/>
        <v>94.69298245614037</v>
      </c>
      <c r="AP19" s="105">
        <f t="shared" si="11"/>
        <v>86.13264427217916</v>
      </c>
      <c r="AQ19" s="104">
        <f t="shared" si="12"/>
        <v>111.57690140845071</v>
      </c>
      <c r="AR19" s="105">
        <f t="shared" si="13"/>
        <v>101.69491525423729</v>
      </c>
      <c r="AS19" s="105">
        <f t="shared" si="14"/>
        <v>75.3711357927356</v>
      </c>
      <c r="AW19" s="107"/>
      <c r="AX19" s="108"/>
      <c r="AY19" s="108"/>
      <c r="AZ19" s="108"/>
      <c r="BA19" s="108"/>
      <c r="BB19" s="107"/>
      <c r="BC19" s="108"/>
      <c r="BD19" s="108"/>
      <c r="BF19" s="108"/>
      <c r="BG19" s="108"/>
      <c r="BH19" s="108"/>
      <c r="BI19" s="108"/>
      <c r="BJ19" s="108"/>
      <c r="BK19" s="107"/>
      <c r="BL19" s="108"/>
      <c r="BM19" s="108"/>
      <c r="BN19" s="108"/>
      <c r="BO19" s="107"/>
      <c r="BP19" s="108"/>
      <c r="BQ19" s="107"/>
      <c r="BR19" s="108"/>
      <c r="BS19" s="108"/>
      <c r="BT19" s="108"/>
      <c r="BU19" s="108"/>
      <c r="BV19" s="109"/>
      <c r="BW19" s="108"/>
      <c r="BX19" s="108"/>
    </row>
    <row r="20" spans="1:45" ht="15">
      <c r="A20" s="91">
        <v>27</v>
      </c>
      <c r="B20" s="91" t="s">
        <v>34</v>
      </c>
      <c r="C20" s="91" t="s">
        <v>60</v>
      </c>
      <c r="D20" s="98" t="s">
        <v>110</v>
      </c>
      <c r="E20" s="99" t="s">
        <v>93</v>
      </c>
      <c r="F20" s="91" t="s">
        <v>59</v>
      </c>
      <c r="G20" s="100">
        <v>41696</v>
      </c>
      <c r="I20" s="100">
        <v>41949</v>
      </c>
      <c r="J20" s="101">
        <v>42060</v>
      </c>
      <c r="K20" s="94" t="s">
        <v>128</v>
      </c>
      <c r="L20" s="95">
        <f t="shared" si="0"/>
        <v>364</v>
      </c>
      <c r="M20" s="95">
        <v>774</v>
      </c>
      <c r="N20" s="95">
        <v>796</v>
      </c>
      <c r="O20" s="95">
        <v>786</v>
      </c>
      <c r="P20" s="102">
        <f t="shared" si="1"/>
        <v>791</v>
      </c>
      <c r="Q20" s="103"/>
      <c r="S20" s="103"/>
      <c r="T20" s="104"/>
      <c r="U20" s="103"/>
      <c r="V20" s="119">
        <v>1020</v>
      </c>
      <c r="W20" s="102">
        <v>1035</v>
      </c>
      <c r="X20" s="103">
        <f t="shared" si="2"/>
        <v>1027.5</v>
      </c>
      <c r="Y20" s="104">
        <f t="shared" si="3"/>
        <v>2.822802197802198</v>
      </c>
      <c r="Z20" s="103">
        <f t="shared" si="4"/>
        <v>236.5</v>
      </c>
      <c r="AA20" s="105">
        <f t="shared" si="5"/>
        <v>2.111607142857143</v>
      </c>
      <c r="AB20" s="112">
        <v>51</v>
      </c>
      <c r="AC20" s="106">
        <f t="shared" si="6"/>
        <v>6.040328720000002</v>
      </c>
      <c r="AD20" s="118">
        <v>11.9217</v>
      </c>
      <c r="AE20" s="105">
        <f t="shared" si="7"/>
        <v>1.1602627737226276</v>
      </c>
      <c r="AF20" s="118">
        <v>0.242065</v>
      </c>
      <c r="AG20" s="118">
        <v>3.27569</v>
      </c>
      <c r="AH20" s="112">
        <v>36</v>
      </c>
      <c r="AI20" s="103">
        <v>2</v>
      </c>
      <c r="AJ20" s="103">
        <v>6</v>
      </c>
      <c r="AK20" s="106">
        <v>15</v>
      </c>
      <c r="AL20" s="112">
        <v>11</v>
      </c>
      <c r="AM20" s="105">
        <f t="shared" si="8"/>
        <v>165</v>
      </c>
      <c r="AN20" s="105">
        <f t="shared" si="9"/>
        <v>77.9190827622562</v>
      </c>
      <c r="AO20" s="104">
        <f t="shared" si="10"/>
        <v>101.77743629145857</v>
      </c>
      <c r="AP20" s="105">
        <f t="shared" si="11"/>
        <v>96.01368019735368</v>
      </c>
      <c r="AQ20" s="104">
        <f t="shared" si="12"/>
        <v>92.27295774647888</v>
      </c>
      <c r="AR20" s="105">
        <f t="shared" si="13"/>
        <v>101.69491525423729</v>
      </c>
      <c r="AS20" s="105">
        <f t="shared" si="14"/>
        <v>91.55803120115883</v>
      </c>
    </row>
    <row r="21" spans="1:76" ht="15">
      <c r="A21" s="91">
        <v>36</v>
      </c>
      <c r="B21" s="91" t="s">
        <v>34</v>
      </c>
      <c r="C21" s="91" t="s">
        <v>60</v>
      </c>
      <c r="D21" s="98" t="s">
        <v>110</v>
      </c>
      <c r="E21" s="115" t="s">
        <v>102</v>
      </c>
      <c r="F21" s="91" t="s">
        <v>59</v>
      </c>
      <c r="G21" s="114">
        <v>41705</v>
      </c>
      <c r="I21" s="100">
        <v>41949</v>
      </c>
      <c r="J21" s="101">
        <v>42060</v>
      </c>
      <c r="K21" s="94" t="s">
        <v>128</v>
      </c>
      <c r="L21" s="95">
        <f t="shared" si="0"/>
        <v>355</v>
      </c>
      <c r="M21" s="107">
        <v>776</v>
      </c>
      <c r="N21" s="95">
        <v>842</v>
      </c>
      <c r="O21" s="95">
        <v>848</v>
      </c>
      <c r="P21" s="102">
        <f t="shared" si="1"/>
        <v>845</v>
      </c>
      <c r="Q21" s="103"/>
      <c r="S21" s="103"/>
      <c r="T21" s="104"/>
      <c r="U21" s="103"/>
      <c r="V21" s="119">
        <v>1195</v>
      </c>
      <c r="W21" s="102">
        <v>1195</v>
      </c>
      <c r="X21" s="103">
        <f t="shared" si="2"/>
        <v>1195</v>
      </c>
      <c r="Y21" s="104">
        <f t="shared" si="3"/>
        <v>3.3661971830985915</v>
      </c>
      <c r="Z21" s="103">
        <f t="shared" si="4"/>
        <v>350</v>
      </c>
      <c r="AA21" s="105">
        <f t="shared" si="5"/>
        <v>3.125</v>
      </c>
      <c r="AB21" s="106">
        <v>53.5</v>
      </c>
      <c r="AC21" s="106">
        <f t="shared" si="6"/>
        <v>7.336356750000002</v>
      </c>
      <c r="AD21" s="118">
        <v>13.2529</v>
      </c>
      <c r="AE21" s="105">
        <f t="shared" si="7"/>
        <v>1.109029288702929</v>
      </c>
      <c r="AF21" s="118">
        <v>0.180563</v>
      </c>
      <c r="AG21" s="118">
        <v>2.54479</v>
      </c>
      <c r="AH21" s="106">
        <v>36.5</v>
      </c>
      <c r="AI21" s="103">
        <v>3</v>
      </c>
      <c r="AJ21" s="103">
        <v>5</v>
      </c>
      <c r="AK21" s="106">
        <v>15.5</v>
      </c>
      <c r="AL21" s="106">
        <v>13</v>
      </c>
      <c r="AM21" s="105">
        <f t="shared" si="8"/>
        <v>201.5</v>
      </c>
      <c r="AN21" s="105">
        <f t="shared" si="9"/>
        <v>115.31365313653137</v>
      </c>
      <c r="AO21" s="104">
        <f t="shared" si="10"/>
        <v>97.28327093885343</v>
      </c>
      <c r="AP21" s="105">
        <f t="shared" si="11"/>
        <v>114.49650282648271</v>
      </c>
      <c r="AQ21" s="104">
        <f t="shared" si="12"/>
        <v>71.68422535211268</v>
      </c>
      <c r="AR21" s="105">
        <f t="shared" si="13"/>
        <v>103.10734463276836</v>
      </c>
      <c r="AS21" s="105">
        <f t="shared" si="14"/>
        <v>101.59763022772603</v>
      </c>
      <c r="AW21" s="107"/>
      <c r="AX21" s="108"/>
      <c r="AY21" s="108"/>
      <c r="AZ21" s="108"/>
      <c r="BA21" s="108"/>
      <c r="BB21" s="107"/>
      <c r="BC21" s="108"/>
      <c r="BD21" s="108"/>
      <c r="BF21" s="108"/>
      <c r="BG21" s="108"/>
      <c r="BH21" s="108"/>
      <c r="BI21" s="108"/>
      <c r="BJ21" s="108"/>
      <c r="BK21" s="107"/>
      <c r="BL21" s="108"/>
      <c r="BM21" s="108"/>
      <c r="BN21" s="108"/>
      <c r="BO21" s="107"/>
      <c r="BP21" s="108"/>
      <c r="BQ21" s="107"/>
      <c r="BR21" s="108"/>
      <c r="BS21" s="108"/>
      <c r="BT21" s="108"/>
      <c r="BU21" s="108"/>
      <c r="BV21" s="109"/>
      <c r="BW21" s="108"/>
      <c r="BX21" s="108"/>
    </row>
    <row r="22" spans="1:76" ht="15">
      <c r="A22" s="91">
        <v>28</v>
      </c>
      <c r="B22" s="91" t="s">
        <v>34</v>
      </c>
      <c r="C22" s="91" t="s">
        <v>60</v>
      </c>
      <c r="D22" s="98" t="s">
        <v>110</v>
      </c>
      <c r="E22" s="99" t="s">
        <v>94</v>
      </c>
      <c r="F22" s="91" t="s">
        <v>59</v>
      </c>
      <c r="G22" s="100">
        <v>41745</v>
      </c>
      <c r="I22" s="100">
        <v>41949</v>
      </c>
      <c r="J22" s="101">
        <v>42060</v>
      </c>
      <c r="K22" s="94" t="s">
        <v>128</v>
      </c>
      <c r="L22" s="95">
        <f t="shared" si="0"/>
        <v>315</v>
      </c>
      <c r="M22" s="95">
        <v>590</v>
      </c>
      <c r="N22" s="95">
        <v>602</v>
      </c>
      <c r="O22" s="95">
        <v>600</v>
      </c>
      <c r="P22" s="102">
        <f t="shared" si="1"/>
        <v>601</v>
      </c>
      <c r="Q22" s="103"/>
      <c r="S22" s="103"/>
      <c r="T22" s="104"/>
      <c r="U22" s="103"/>
      <c r="V22" s="119">
        <v>848</v>
      </c>
      <c r="W22" s="103">
        <v>864</v>
      </c>
      <c r="X22" s="103">
        <f t="shared" si="2"/>
        <v>856</v>
      </c>
      <c r="Y22" s="104">
        <f t="shared" si="3"/>
        <v>2.7174603174603176</v>
      </c>
      <c r="Z22" s="103">
        <f t="shared" si="4"/>
        <v>255</v>
      </c>
      <c r="AA22" s="105">
        <f t="shared" si="5"/>
        <v>2.2767857142857144</v>
      </c>
      <c r="AB22" s="106">
        <v>50</v>
      </c>
      <c r="AC22" s="106">
        <f t="shared" si="6"/>
        <v>6.19646075</v>
      </c>
      <c r="AD22" s="118">
        <v>10.5718</v>
      </c>
      <c r="AE22" s="105">
        <f t="shared" si="7"/>
        <v>1.2350233644859814</v>
      </c>
      <c r="AF22" s="118">
        <v>0.112591</v>
      </c>
      <c r="AG22" s="118">
        <v>2.80418</v>
      </c>
      <c r="AH22" s="112">
        <v>34</v>
      </c>
      <c r="AI22" s="103">
        <v>3</v>
      </c>
      <c r="AJ22" s="103">
        <v>6</v>
      </c>
      <c r="AK22" s="112">
        <v>15</v>
      </c>
      <c r="AL22" s="112">
        <v>11.5</v>
      </c>
      <c r="AM22" s="105">
        <f t="shared" si="8"/>
        <v>172.5</v>
      </c>
      <c r="AN22" s="105">
        <f t="shared" si="9"/>
        <v>84.01423299947285</v>
      </c>
      <c r="AO22" s="104">
        <f t="shared" si="10"/>
        <v>108.3353828496475</v>
      </c>
      <c r="AP22" s="105">
        <f t="shared" si="11"/>
        <v>92.43062304286795</v>
      </c>
      <c r="AQ22" s="104">
        <f t="shared" si="12"/>
        <v>78.99098591549296</v>
      </c>
      <c r="AR22" s="105">
        <f t="shared" si="13"/>
        <v>96.045197740113</v>
      </c>
      <c r="AS22" s="105">
        <f t="shared" si="14"/>
        <v>90.76018803545483</v>
      </c>
      <c r="AW22" s="107"/>
      <c r="AX22" s="108"/>
      <c r="AY22" s="108"/>
      <c r="AZ22" s="108"/>
      <c r="BA22" s="108"/>
      <c r="BB22" s="107"/>
      <c r="BC22" s="108"/>
      <c r="BD22" s="108"/>
      <c r="BF22" s="108"/>
      <c r="BG22" s="108"/>
      <c r="BH22" s="108"/>
      <c r="BI22" s="108"/>
      <c r="BJ22" s="108"/>
      <c r="BK22" s="107"/>
      <c r="BL22" s="108"/>
      <c r="BM22" s="108"/>
      <c r="BN22" s="108"/>
      <c r="BO22" s="107"/>
      <c r="BP22" s="108"/>
      <c r="BQ22" s="107"/>
      <c r="BR22" s="108"/>
      <c r="BS22" s="108"/>
      <c r="BT22" s="108"/>
      <c r="BU22" s="108"/>
      <c r="BV22" s="109"/>
      <c r="BW22" s="108"/>
      <c r="BX22" s="108"/>
    </row>
    <row r="23" spans="1:76" ht="15">
      <c r="A23" s="91">
        <v>30</v>
      </c>
      <c r="B23" s="91" t="s">
        <v>34</v>
      </c>
      <c r="C23" s="91" t="s">
        <v>60</v>
      </c>
      <c r="D23" s="98" t="s">
        <v>110</v>
      </c>
      <c r="E23" s="99" t="s">
        <v>96</v>
      </c>
      <c r="F23" s="91" t="s">
        <v>138</v>
      </c>
      <c r="G23" s="114">
        <v>41702</v>
      </c>
      <c r="I23" s="100">
        <v>41949</v>
      </c>
      <c r="J23" s="101">
        <v>42060</v>
      </c>
      <c r="K23" s="94" t="s">
        <v>128</v>
      </c>
      <c r="L23" s="95">
        <f t="shared" si="0"/>
        <v>358</v>
      </c>
      <c r="M23" s="107">
        <v>706</v>
      </c>
      <c r="N23" s="95">
        <v>734</v>
      </c>
      <c r="O23" s="95">
        <v>748</v>
      </c>
      <c r="P23" s="102">
        <f t="shared" si="1"/>
        <v>741</v>
      </c>
      <c r="Q23" s="103"/>
      <c r="S23" s="103"/>
      <c r="T23" s="104"/>
      <c r="U23" s="103"/>
      <c r="V23" s="119">
        <v>1045</v>
      </c>
      <c r="W23" s="102">
        <v>1035</v>
      </c>
      <c r="X23" s="103">
        <f t="shared" si="2"/>
        <v>1040</v>
      </c>
      <c r="Y23" s="104">
        <f t="shared" si="3"/>
        <v>2.905027932960894</v>
      </c>
      <c r="Z23" s="103">
        <f t="shared" si="4"/>
        <v>299</v>
      </c>
      <c r="AA23" s="105">
        <f t="shared" si="5"/>
        <v>2.669642857142857</v>
      </c>
      <c r="AB23" s="106">
        <v>50</v>
      </c>
      <c r="AC23" s="106">
        <f>-11.548+0.4878*(AB23)-0.0289*(L23)+0.00001947*(L23*L23)+0.0000334*(AB25*L23)</f>
        <v>5.618906080000001</v>
      </c>
      <c r="AD23" s="118">
        <v>12.592</v>
      </c>
      <c r="AE23" s="105">
        <f t="shared" si="7"/>
        <v>1.2107692307692308</v>
      </c>
      <c r="AF23" s="118">
        <v>0.174562</v>
      </c>
      <c r="AG23" s="118">
        <v>3.8684</v>
      </c>
      <c r="AH23" s="112">
        <v>42.5</v>
      </c>
      <c r="AI23" s="103">
        <v>3</v>
      </c>
      <c r="AJ23" s="103">
        <v>6</v>
      </c>
      <c r="AK23" s="112">
        <v>14.5</v>
      </c>
      <c r="AL23" s="112">
        <v>12</v>
      </c>
      <c r="AM23" s="105">
        <f t="shared" si="8"/>
        <v>174</v>
      </c>
      <c r="AN23" s="105">
        <f t="shared" si="9"/>
        <v>98.51080653663679</v>
      </c>
      <c r="AO23" s="104">
        <f t="shared" si="10"/>
        <v>106.20782726045886</v>
      </c>
      <c r="AP23" s="105">
        <f t="shared" si="11"/>
        <v>98.81047391023449</v>
      </c>
      <c r="AQ23" s="104">
        <f t="shared" si="12"/>
        <v>108.96901408450704</v>
      </c>
      <c r="AR23" s="105">
        <f t="shared" si="13"/>
        <v>120.05649717514125</v>
      </c>
      <c r="AS23" s="105">
        <f t="shared" si="14"/>
        <v>104.35635472954525</v>
      </c>
      <c r="AW23" s="107"/>
      <c r="AX23" s="108"/>
      <c r="AY23" s="108"/>
      <c r="AZ23" s="108"/>
      <c r="BA23" s="108"/>
      <c r="BB23" s="107"/>
      <c r="BC23" s="108"/>
      <c r="BD23" s="108"/>
      <c r="BE23" s="107"/>
      <c r="BF23" s="108"/>
      <c r="BG23" s="108"/>
      <c r="BH23" s="108"/>
      <c r="BI23" s="108"/>
      <c r="BJ23" s="108"/>
      <c r="BK23" s="107"/>
      <c r="BL23" s="108"/>
      <c r="BM23" s="108"/>
      <c r="BN23" s="108"/>
      <c r="BO23" s="107"/>
      <c r="BP23" s="108"/>
      <c r="BQ23" s="107"/>
      <c r="BR23" s="108"/>
      <c r="BS23" s="108"/>
      <c r="BT23" s="108"/>
      <c r="BU23" s="108"/>
      <c r="BV23" s="109"/>
      <c r="BW23" s="108"/>
      <c r="BX23" s="108"/>
    </row>
    <row r="24" spans="4:76" s="121" customFormat="1" ht="15.75">
      <c r="D24" s="120" t="s">
        <v>145</v>
      </c>
      <c r="E24" s="131"/>
      <c r="G24" s="132"/>
      <c r="H24" s="122"/>
      <c r="I24" s="122"/>
      <c r="J24" s="123"/>
      <c r="K24" s="124"/>
      <c r="L24" s="125">
        <f>AVERAGE(L2:L23)</f>
        <v>350.6363636363636</v>
      </c>
      <c r="M24" s="125">
        <f>AVERAGE(M2:M23)</f>
        <v>699.7142857142857</v>
      </c>
      <c r="N24" s="125">
        <f aca="true" t="shared" si="15" ref="N24:X24">AVERAGE(N2:N23)</f>
        <v>727.8181818181819</v>
      </c>
      <c r="O24" s="125">
        <f t="shared" si="15"/>
        <v>726</v>
      </c>
      <c r="P24" s="125">
        <f t="shared" si="15"/>
        <v>726.9090909090909</v>
      </c>
      <c r="Q24" s="125" t="e">
        <f t="shared" si="15"/>
        <v>#DIV/0!</v>
      </c>
      <c r="R24" s="125" t="e">
        <f t="shared" si="15"/>
        <v>#DIV/0!</v>
      </c>
      <c r="S24" s="125" t="e">
        <f t="shared" si="15"/>
        <v>#DIV/0!</v>
      </c>
      <c r="T24" s="125" t="e">
        <f t="shared" si="15"/>
        <v>#DIV/0!</v>
      </c>
      <c r="U24" s="125" t="e">
        <f t="shared" si="15"/>
        <v>#DIV/0!</v>
      </c>
      <c r="V24" s="125">
        <f t="shared" si="15"/>
        <v>1026.2727272727273</v>
      </c>
      <c r="W24" s="125">
        <f t="shared" si="15"/>
        <v>1034.3181818181818</v>
      </c>
      <c r="X24" s="125">
        <f t="shared" si="15"/>
        <v>1030.2954545454545</v>
      </c>
      <c r="Y24" s="127">
        <f aca="true" t="shared" si="16" ref="Y24:AS24">AVERAGE(Y2:Y23)</f>
        <v>2.939109443817521</v>
      </c>
      <c r="Z24" s="125">
        <f t="shared" si="16"/>
        <v>303.3863636363636</v>
      </c>
      <c r="AA24" s="127">
        <f t="shared" si="16"/>
        <v>2.7088068181818183</v>
      </c>
      <c r="AB24" s="126">
        <f t="shared" si="16"/>
        <v>50.88636363636363</v>
      </c>
      <c r="AC24" s="126">
        <f t="shared" si="16"/>
        <v>6.147630681818183</v>
      </c>
      <c r="AD24" s="127">
        <f t="shared" si="16"/>
        <v>11.73249</v>
      </c>
      <c r="AE24" s="127">
        <f t="shared" si="16"/>
        <v>1.1423988917613992</v>
      </c>
      <c r="AF24" s="127">
        <f t="shared" si="16"/>
        <v>0.18184663636363638</v>
      </c>
      <c r="AG24" s="127">
        <f t="shared" si="16"/>
        <v>3.5474413636363638</v>
      </c>
      <c r="AH24" s="126">
        <f t="shared" si="16"/>
        <v>35.36363636363637</v>
      </c>
      <c r="AI24" s="125">
        <f t="shared" si="16"/>
        <v>2.8181818181818183</v>
      </c>
      <c r="AJ24" s="125">
        <f t="shared" si="16"/>
        <v>5.7727272727272725</v>
      </c>
      <c r="AK24" s="126">
        <f t="shared" si="16"/>
        <v>15.022727272727273</v>
      </c>
      <c r="AL24" s="126">
        <f t="shared" si="16"/>
        <v>11.636363636363637</v>
      </c>
      <c r="AM24" s="127">
        <f t="shared" si="16"/>
        <v>174.9431818181818</v>
      </c>
      <c r="AN24" s="127">
        <f t="shared" si="16"/>
        <v>99.9559711506206</v>
      </c>
      <c r="AO24" s="127">
        <f t="shared" si="16"/>
        <v>100.21042910187715</v>
      </c>
      <c r="AP24" s="127">
        <f t="shared" si="16"/>
        <v>99.96970897338511</v>
      </c>
      <c r="AQ24" s="127">
        <f t="shared" si="16"/>
        <v>99.9279257362356</v>
      </c>
      <c r="AR24" s="127">
        <f t="shared" si="16"/>
        <v>99.89727786337954</v>
      </c>
      <c r="AS24" s="127">
        <f t="shared" si="16"/>
        <v>99.99813189382371</v>
      </c>
      <c r="AW24" s="128"/>
      <c r="AX24" s="129"/>
      <c r="AY24" s="129"/>
      <c r="AZ24" s="129"/>
      <c r="BA24" s="129"/>
      <c r="BB24" s="128"/>
      <c r="BC24" s="129"/>
      <c r="BD24" s="129"/>
      <c r="BE24" s="128"/>
      <c r="BF24" s="129"/>
      <c r="BG24" s="129"/>
      <c r="BH24" s="129"/>
      <c r="BI24" s="129"/>
      <c r="BJ24" s="129"/>
      <c r="BK24" s="128"/>
      <c r="BL24" s="129"/>
      <c r="BM24" s="129"/>
      <c r="BN24" s="129"/>
      <c r="BO24" s="128"/>
      <c r="BP24" s="129"/>
      <c r="BQ24" s="128"/>
      <c r="BR24" s="129"/>
      <c r="BS24" s="129"/>
      <c r="BT24" s="129"/>
      <c r="BU24" s="129"/>
      <c r="BV24" s="130"/>
      <c r="BW24" s="129"/>
      <c r="BX24" s="129"/>
    </row>
    <row r="25" spans="1:76" ht="15">
      <c r="A25" s="91">
        <v>7</v>
      </c>
      <c r="B25" s="91" t="s">
        <v>55</v>
      </c>
      <c r="C25" s="91" t="s">
        <v>56</v>
      </c>
      <c r="D25" s="98" t="s">
        <v>104</v>
      </c>
      <c r="E25" s="99" t="s">
        <v>74</v>
      </c>
      <c r="F25" s="91" t="s">
        <v>129</v>
      </c>
      <c r="G25" s="100">
        <v>41626</v>
      </c>
      <c r="I25" s="100">
        <v>41949</v>
      </c>
      <c r="J25" s="101">
        <v>42060</v>
      </c>
      <c r="K25" s="94" t="s">
        <v>118</v>
      </c>
      <c r="L25" s="95">
        <f aca="true" t="shared" si="17" ref="L25:L34">J25-G25</f>
        <v>434</v>
      </c>
      <c r="M25" s="95">
        <v>798</v>
      </c>
      <c r="N25" s="95">
        <v>854</v>
      </c>
      <c r="O25" s="95">
        <v>844</v>
      </c>
      <c r="P25" s="102">
        <f aca="true" t="shared" si="18" ref="P25:P34">AVERAGE(N25:O25)</f>
        <v>849</v>
      </c>
      <c r="Q25" s="103"/>
      <c r="S25" s="103"/>
      <c r="T25" s="104"/>
      <c r="U25" s="103"/>
      <c r="V25" s="119">
        <v>1275</v>
      </c>
      <c r="W25" s="102">
        <v>1305</v>
      </c>
      <c r="X25" s="103">
        <f aca="true" t="shared" si="19" ref="X25:X34">(V25+W25)/2</f>
        <v>1290</v>
      </c>
      <c r="Y25" s="104">
        <f aca="true" t="shared" si="20" ref="Y25:Y34">(X25/L25)</f>
        <v>2.9723502304147464</v>
      </c>
      <c r="Z25" s="103">
        <f aca="true" t="shared" si="21" ref="Z25:Z34">(X25-P25)</f>
        <v>441</v>
      </c>
      <c r="AA25" s="105">
        <f aca="true" t="shared" si="22" ref="AA25:AA34">(Z25/112)</f>
        <v>3.9375</v>
      </c>
      <c r="AB25" s="106">
        <v>52.5</v>
      </c>
      <c r="AC25" s="106">
        <f aca="true" t="shared" si="23" ref="AC25:AC33">-11.548+0.4878*(AB25)-0.0289*(L25)+0.00001947*(L25*L25)+0.0000334*(AB26*L25)</f>
        <v>5.918219120000001</v>
      </c>
      <c r="AD25" s="118">
        <v>15.2245</v>
      </c>
      <c r="AE25" s="105">
        <f aca="true" t="shared" si="24" ref="AE25:AE34">AD25/X25*100</f>
        <v>1.1801937984496125</v>
      </c>
      <c r="AF25" s="118">
        <v>0.298809</v>
      </c>
      <c r="AG25" s="118">
        <v>3.61478</v>
      </c>
      <c r="AH25" s="106">
        <v>37</v>
      </c>
      <c r="AI25" s="103">
        <v>2</v>
      </c>
      <c r="AJ25" s="103">
        <v>7</v>
      </c>
      <c r="AK25" s="106">
        <v>15</v>
      </c>
      <c r="AL25" s="106">
        <v>13</v>
      </c>
      <c r="AM25" s="105">
        <f aca="true" t="shared" si="25" ref="AM25:AM34">(AK25*AL25)</f>
        <v>195</v>
      </c>
      <c r="AN25" s="105">
        <f>(AA25/3.45)*100</f>
        <v>114.13043478260869</v>
      </c>
      <c r="AO25" s="104">
        <f>(AE25/1.13)*100</f>
        <v>104.44192906633741</v>
      </c>
      <c r="AP25" s="105">
        <f>(Y25/2.81)*100</f>
        <v>105.77758827098742</v>
      </c>
      <c r="AQ25" s="104">
        <f>(AG25/4.03)*100</f>
        <v>89.69677419354838</v>
      </c>
      <c r="AR25" s="105">
        <f>(AH25/38.5)*100</f>
        <v>96.1038961038961</v>
      </c>
      <c r="AS25" s="105">
        <f>(AN25*0.3)+(AO25*0.2)+(AP25*0.2)+(AQ25*0.2)+(AR25*0.1)</f>
        <v>103.83277835134686</v>
      </c>
      <c r="AW25" s="107"/>
      <c r="AX25" s="108"/>
      <c r="AY25" s="108"/>
      <c r="AZ25" s="108"/>
      <c r="BA25" s="108"/>
      <c r="BB25" s="107"/>
      <c r="BC25" s="108"/>
      <c r="BD25" s="108"/>
      <c r="BF25" s="108"/>
      <c r="BG25" s="108"/>
      <c r="BH25" s="108"/>
      <c r="BI25" s="108"/>
      <c r="BJ25" s="108"/>
      <c r="BK25" s="107"/>
      <c r="BL25" s="108"/>
      <c r="BM25" s="108"/>
      <c r="BN25" s="108"/>
      <c r="BO25" s="107"/>
      <c r="BP25" s="108"/>
      <c r="BQ25" s="107"/>
      <c r="BR25" s="108"/>
      <c r="BS25" s="108"/>
      <c r="BT25" s="108"/>
      <c r="BU25" s="108"/>
      <c r="BV25" s="109"/>
      <c r="BW25" s="108"/>
      <c r="BX25" s="108"/>
    </row>
    <row r="26" spans="1:76" ht="15">
      <c r="A26" s="91">
        <v>18</v>
      </c>
      <c r="B26" s="91" t="s">
        <v>55</v>
      </c>
      <c r="C26" s="91" t="s">
        <v>56</v>
      </c>
      <c r="D26" s="98" t="s">
        <v>106</v>
      </c>
      <c r="E26" s="115" t="s">
        <v>85</v>
      </c>
      <c r="F26" s="91" t="s">
        <v>135</v>
      </c>
      <c r="G26" s="114">
        <v>41579</v>
      </c>
      <c r="I26" s="100">
        <v>41949</v>
      </c>
      <c r="J26" s="101">
        <v>42060</v>
      </c>
      <c r="K26" s="94" t="s">
        <v>123</v>
      </c>
      <c r="L26" s="95">
        <f t="shared" si="17"/>
        <v>481</v>
      </c>
      <c r="M26" s="95">
        <v>910</v>
      </c>
      <c r="N26" s="95">
        <v>920</v>
      </c>
      <c r="O26" s="95">
        <v>904</v>
      </c>
      <c r="P26" s="102">
        <f t="shared" si="18"/>
        <v>912</v>
      </c>
      <c r="Q26" s="103"/>
      <c r="S26" s="103"/>
      <c r="T26" s="104"/>
      <c r="U26" s="103"/>
      <c r="V26" s="119">
        <v>1245</v>
      </c>
      <c r="W26" s="102">
        <v>1255</v>
      </c>
      <c r="X26" s="103">
        <f t="shared" si="19"/>
        <v>1250</v>
      </c>
      <c r="Y26" s="104">
        <f t="shared" si="20"/>
        <v>2.598752598752599</v>
      </c>
      <c r="Z26" s="103">
        <f t="shared" si="21"/>
        <v>338</v>
      </c>
      <c r="AA26" s="105">
        <f t="shared" si="22"/>
        <v>3.017857142857143</v>
      </c>
      <c r="AB26" s="106">
        <v>50.5</v>
      </c>
      <c r="AC26" s="106">
        <f t="shared" si="23"/>
        <v>4.55713027</v>
      </c>
      <c r="AD26" s="118">
        <v>13.7439</v>
      </c>
      <c r="AE26" s="105">
        <f t="shared" si="24"/>
        <v>1.099512</v>
      </c>
      <c r="AF26" s="118">
        <v>0.262872</v>
      </c>
      <c r="AG26" s="118">
        <v>6.71546</v>
      </c>
      <c r="AH26" s="106">
        <v>39</v>
      </c>
      <c r="AI26" s="103">
        <v>2</v>
      </c>
      <c r="AJ26" s="103">
        <v>6</v>
      </c>
      <c r="AK26" s="106">
        <v>15</v>
      </c>
      <c r="AL26" s="106">
        <v>12</v>
      </c>
      <c r="AM26" s="105">
        <f t="shared" si="25"/>
        <v>180</v>
      </c>
      <c r="AN26" s="105">
        <f aca="true" t="shared" si="26" ref="AN26:AN34">(AA26/3.45)*100</f>
        <v>87.47412008281573</v>
      </c>
      <c r="AO26" s="104">
        <f aca="true" t="shared" si="27" ref="AO26:AO34">(AE26/1.13)*100</f>
        <v>97.30194690265488</v>
      </c>
      <c r="AP26" s="105">
        <f aca="true" t="shared" si="28" ref="AP26:AP34">(Y26/2.81)*100</f>
        <v>92.48229888799284</v>
      </c>
      <c r="AQ26" s="104">
        <f aca="true" t="shared" si="29" ref="AQ26:AQ34">(AG26/4.03)*100</f>
        <v>166.63672456575682</v>
      </c>
      <c r="AR26" s="105">
        <f aca="true" t="shared" si="30" ref="AR26:AR34">(AH26/38.5)*100</f>
        <v>101.29870129870129</v>
      </c>
      <c r="AS26" s="105">
        <f aca="true" t="shared" si="31" ref="AS26:AS34">(AN26*0.3)+(AO26*0.2)+(AP26*0.2)+(AQ26*0.2)+(AR26*0.1)</f>
        <v>107.65630022599576</v>
      </c>
      <c r="AW26" s="107"/>
      <c r="AX26" s="108"/>
      <c r="AY26" s="108"/>
      <c r="AZ26" s="108"/>
      <c r="BA26" s="108"/>
      <c r="BB26" s="107"/>
      <c r="BC26" s="108"/>
      <c r="BD26" s="108"/>
      <c r="BF26" s="108"/>
      <c r="BG26" s="108"/>
      <c r="BH26" s="108"/>
      <c r="BI26" s="108"/>
      <c r="BJ26" s="108"/>
      <c r="BK26" s="107"/>
      <c r="BL26" s="108"/>
      <c r="BM26" s="108"/>
      <c r="BN26" s="108"/>
      <c r="BO26" s="107"/>
      <c r="BP26" s="108"/>
      <c r="BQ26" s="107"/>
      <c r="BR26" s="108"/>
      <c r="BS26" s="108"/>
      <c r="BT26" s="108"/>
      <c r="BU26" s="108"/>
      <c r="BV26" s="109"/>
      <c r="BW26" s="108"/>
      <c r="BX26" s="108"/>
    </row>
    <row r="27" spans="1:76" s="98" customFormat="1" ht="15">
      <c r="A27" s="91">
        <v>11</v>
      </c>
      <c r="B27" s="91" t="s">
        <v>55</v>
      </c>
      <c r="C27" s="91" t="s">
        <v>56</v>
      </c>
      <c r="D27" s="98" t="s">
        <v>57</v>
      </c>
      <c r="E27" s="99" t="s">
        <v>78</v>
      </c>
      <c r="F27" s="91" t="s">
        <v>134</v>
      </c>
      <c r="G27" s="100">
        <v>41630</v>
      </c>
      <c r="H27" s="100"/>
      <c r="I27" s="100">
        <v>41949</v>
      </c>
      <c r="J27" s="101">
        <v>42060</v>
      </c>
      <c r="K27" s="94" t="s">
        <v>120</v>
      </c>
      <c r="L27" s="95">
        <f t="shared" si="17"/>
        <v>430</v>
      </c>
      <c r="M27" s="95">
        <v>804</v>
      </c>
      <c r="N27" s="95">
        <v>832</v>
      </c>
      <c r="O27" s="95">
        <v>840</v>
      </c>
      <c r="P27" s="102">
        <f t="shared" si="18"/>
        <v>836</v>
      </c>
      <c r="Q27" s="103"/>
      <c r="R27" s="102"/>
      <c r="S27" s="103"/>
      <c r="T27" s="104"/>
      <c r="U27" s="103"/>
      <c r="V27" s="119">
        <v>1195</v>
      </c>
      <c r="W27" s="102">
        <v>1210</v>
      </c>
      <c r="X27" s="103">
        <f t="shared" si="19"/>
        <v>1202.5</v>
      </c>
      <c r="Y27" s="104">
        <f t="shared" si="20"/>
        <v>2.796511627906977</v>
      </c>
      <c r="Z27" s="103">
        <f t="shared" si="21"/>
        <v>366.5</v>
      </c>
      <c r="AA27" s="105">
        <f t="shared" si="22"/>
        <v>3.2723214285714284</v>
      </c>
      <c r="AB27" s="106">
        <v>54</v>
      </c>
      <c r="AC27" s="106">
        <f t="shared" si="23"/>
        <v>6.741751000000002</v>
      </c>
      <c r="AD27" s="118">
        <v>13.168</v>
      </c>
      <c r="AE27" s="105">
        <f t="shared" si="24"/>
        <v>1.095051975051975</v>
      </c>
      <c r="AF27" s="118">
        <v>0.19851</v>
      </c>
      <c r="AG27" s="118">
        <v>3.46571</v>
      </c>
      <c r="AH27" s="106">
        <v>42</v>
      </c>
      <c r="AI27" s="103">
        <v>3</v>
      </c>
      <c r="AJ27" s="103">
        <v>6</v>
      </c>
      <c r="AK27" s="106">
        <v>16</v>
      </c>
      <c r="AL27" s="106">
        <v>13</v>
      </c>
      <c r="AM27" s="105">
        <f t="shared" si="25"/>
        <v>208</v>
      </c>
      <c r="AN27" s="105">
        <f t="shared" si="26"/>
        <v>94.84989648033125</v>
      </c>
      <c r="AO27" s="104">
        <f t="shared" si="27"/>
        <v>96.90725442937833</v>
      </c>
      <c r="AP27" s="105">
        <f t="shared" si="28"/>
        <v>99.5199867582554</v>
      </c>
      <c r="AQ27" s="104">
        <f t="shared" si="29"/>
        <v>85.99776674937965</v>
      </c>
      <c r="AR27" s="105">
        <f t="shared" si="30"/>
        <v>109.09090909090908</v>
      </c>
      <c r="AS27" s="105">
        <f t="shared" si="31"/>
        <v>95.84906144059296</v>
      </c>
      <c r="AT27" s="91"/>
      <c r="AU27" s="91"/>
      <c r="AV27" s="91"/>
      <c r="AW27" s="107"/>
      <c r="AX27" s="108"/>
      <c r="AY27" s="108"/>
      <c r="AZ27" s="108"/>
      <c r="BA27" s="108"/>
      <c r="BB27" s="107"/>
      <c r="BC27" s="108"/>
      <c r="BD27" s="108"/>
      <c r="BE27" s="95"/>
      <c r="BF27" s="108"/>
      <c r="BG27" s="108"/>
      <c r="BH27" s="108"/>
      <c r="BI27" s="108"/>
      <c r="BJ27" s="108"/>
      <c r="BK27" s="107"/>
      <c r="BL27" s="108"/>
      <c r="BM27" s="108"/>
      <c r="BN27" s="108"/>
      <c r="BO27" s="107"/>
      <c r="BP27" s="108"/>
      <c r="BQ27" s="107"/>
      <c r="BR27" s="108"/>
      <c r="BS27" s="108"/>
      <c r="BT27" s="108"/>
      <c r="BU27" s="108"/>
      <c r="BV27" s="109"/>
      <c r="BW27" s="108"/>
      <c r="BX27" s="108"/>
    </row>
    <row r="28" spans="1:76" ht="15">
      <c r="A28" s="91">
        <v>1</v>
      </c>
      <c r="B28" s="91" t="s">
        <v>55</v>
      </c>
      <c r="C28" s="91" t="s">
        <v>56</v>
      </c>
      <c r="D28" s="98" t="s">
        <v>67</v>
      </c>
      <c r="E28" s="99" t="s">
        <v>68</v>
      </c>
      <c r="F28" s="91" t="s">
        <v>134</v>
      </c>
      <c r="G28" s="100">
        <v>41569</v>
      </c>
      <c r="I28" s="100">
        <v>41949</v>
      </c>
      <c r="J28" s="101">
        <v>42060</v>
      </c>
      <c r="K28" s="94" t="s">
        <v>116</v>
      </c>
      <c r="L28" s="95">
        <f t="shared" si="17"/>
        <v>491</v>
      </c>
      <c r="M28" s="95">
        <v>762</v>
      </c>
      <c r="N28" s="95">
        <v>860</v>
      </c>
      <c r="O28" s="95">
        <v>848</v>
      </c>
      <c r="P28" s="102">
        <f t="shared" si="18"/>
        <v>854</v>
      </c>
      <c r="Q28" s="103"/>
      <c r="S28" s="103"/>
      <c r="T28" s="104"/>
      <c r="U28" s="103"/>
      <c r="V28" s="119">
        <v>1270</v>
      </c>
      <c r="W28" s="102">
        <v>1280</v>
      </c>
      <c r="X28" s="103">
        <f t="shared" si="19"/>
        <v>1275</v>
      </c>
      <c r="Y28" s="104">
        <f t="shared" si="20"/>
        <v>2.5967413441955194</v>
      </c>
      <c r="Z28" s="103">
        <f t="shared" si="21"/>
        <v>421</v>
      </c>
      <c r="AA28" s="105">
        <f t="shared" si="22"/>
        <v>3.7589285714285716</v>
      </c>
      <c r="AB28" s="106">
        <v>54</v>
      </c>
      <c r="AC28" s="106">
        <f t="shared" si="23"/>
        <v>6.1745149700000015</v>
      </c>
      <c r="AD28" s="118">
        <v>13.9929</v>
      </c>
      <c r="AE28" s="105">
        <f t="shared" si="24"/>
        <v>1.0974823529411764</v>
      </c>
      <c r="AF28" s="118">
        <v>0.250939</v>
      </c>
      <c r="AG28" s="118">
        <v>4.00131</v>
      </c>
      <c r="AH28" s="106">
        <v>32</v>
      </c>
      <c r="AI28" s="103">
        <v>3</v>
      </c>
      <c r="AJ28" s="103">
        <v>6</v>
      </c>
      <c r="AK28" s="106">
        <v>15</v>
      </c>
      <c r="AL28" s="106">
        <v>12.5</v>
      </c>
      <c r="AM28" s="105">
        <f t="shared" si="25"/>
        <v>187.5</v>
      </c>
      <c r="AN28" s="105">
        <f t="shared" si="26"/>
        <v>108.9544513457557</v>
      </c>
      <c r="AO28" s="104">
        <f t="shared" si="27"/>
        <v>97.12233211868818</v>
      </c>
      <c r="AP28" s="105">
        <f t="shared" si="28"/>
        <v>92.4107239927231</v>
      </c>
      <c r="AQ28" s="104">
        <f t="shared" si="29"/>
        <v>99.2880893300248</v>
      </c>
      <c r="AR28" s="105">
        <f t="shared" si="30"/>
        <v>83.11688311688312</v>
      </c>
      <c r="AS28" s="105">
        <f t="shared" si="31"/>
        <v>98.76225280370224</v>
      </c>
      <c r="AW28" s="107"/>
      <c r="AX28" s="108"/>
      <c r="AY28" s="108"/>
      <c r="AZ28" s="108"/>
      <c r="BA28" s="108"/>
      <c r="BB28" s="107"/>
      <c r="BC28" s="108"/>
      <c r="BD28" s="108"/>
      <c r="BF28" s="108"/>
      <c r="BG28" s="108"/>
      <c r="BH28" s="108"/>
      <c r="BI28" s="108"/>
      <c r="BJ28" s="108"/>
      <c r="BK28" s="107"/>
      <c r="BL28" s="108"/>
      <c r="BM28" s="108"/>
      <c r="BN28" s="108"/>
      <c r="BO28" s="107"/>
      <c r="BP28" s="108"/>
      <c r="BQ28" s="107"/>
      <c r="BR28" s="108"/>
      <c r="BS28" s="108"/>
      <c r="BT28" s="108"/>
      <c r="BU28" s="108"/>
      <c r="BV28" s="109"/>
      <c r="BW28" s="108"/>
      <c r="BX28" s="108"/>
    </row>
    <row r="29" spans="1:76" ht="15">
      <c r="A29" s="91">
        <v>3</v>
      </c>
      <c r="B29" s="91" t="s">
        <v>55</v>
      </c>
      <c r="C29" s="91" t="s">
        <v>56</v>
      </c>
      <c r="D29" s="98" t="s">
        <v>67</v>
      </c>
      <c r="E29" s="110" t="s">
        <v>70</v>
      </c>
      <c r="F29" s="91" t="s">
        <v>134</v>
      </c>
      <c r="G29" s="100">
        <v>41608</v>
      </c>
      <c r="I29" s="100">
        <v>41949</v>
      </c>
      <c r="J29" s="101">
        <v>42060</v>
      </c>
      <c r="K29" s="94" t="s">
        <v>116</v>
      </c>
      <c r="L29" s="95">
        <f t="shared" si="17"/>
        <v>452</v>
      </c>
      <c r="M29" s="95">
        <v>686</v>
      </c>
      <c r="N29" s="95">
        <v>716</v>
      </c>
      <c r="O29" s="95">
        <v>724</v>
      </c>
      <c r="P29" s="102">
        <f t="shared" si="18"/>
        <v>720</v>
      </c>
      <c r="Q29" s="103"/>
      <c r="S29" s="103"/>
      <c r="T29" s="104"/>
      <c r="U29" s="103"/>
      <c r="V29" s="119">
        <v>1110</v>
      </c>
      <c r="W29" s="102">
        <v>1115</v>
      </c>
      <c r="X29" s="103">
        <f t="shared" si="19"/>
        <v>1112.5</v>
      </c>
      <c r="Y29" s="104">
        <f t="shared" si="20"/>
        <v>2.461283185840708</v>
      </c>
      <c r="Z29" s="103">
        <f t="shared" si="21"/>
        <v>392.5</v>
      </c>
      <c r="AA29" s="105">
        <f t="shared" si="22"/>
        <v>3.5044642857142856</v>
      </c>
      <c r="AB29" s="106">
        <v>53.5</v>
      </c>
      <c r="AC29" s="106">
        <f t="shared" si="23"/>
        <v>6.249332480000001</v>
      </c>
      <c r="AD29" s="118">
        <v>13.3735</v>
      </c>
      <c r="AE29" s="105">
        <f t="shared" si="24"/>
        <v>1.2021123595505618</v>
      </c>
      <c r="AF29" s="118">
        <v>0.080486</v>
      </c>
      <c r="AG29" s="118">
        <v>3.68227</v>
      </c>
      <c r="AH29" s="106">
        <v>36</v>
      </c>
      <c r="AI29" s="103">
        <v>4</v>
      </c>
      <c r="AJ29" s="103">
        <v>5</v>
      </c>
      <c r="AK29" s="106">
        <v>16</v>
      </c>
      <c r="AL29" s="106">
        <v>13.5</v>
      </c>
      <c r="AM29" s="105">
        <f t="shared" si="25"/>
        <v>216</v>
      </c>
      <c r="AN29" s="105">
        <f t="shared" si="26"/>
        <v>101.57867494824015</v>
      </c>
      <c r="AO29" s="104">
        <f t="shared" si="27"/>
        <v>106.38162473898778</v>
      </c>
      <c r="AP29" s="105">
        <f t="shared" si="28"/>
        <v>87.59014896230278</v>
      </c>
      <c r="AQ29" s="104">
        <f t="shared" si="29"/>
        <v>91.37146401985112</v>
      </c>
      <c r="AR29" s="105">
        <f t="shared" si="30"/>
        <v>93.5064935064935</v>
      </c>
      <c r="AS29" s="105">
        <f t="shared" si="31"/>
        <v>96.89289937934973</v>
      </c>
      <c r="AW29" s="107"/>
      <c r="AX29" s="108"/>
      <c r="AY29" s="108"/>
      <c r="AZ29" s="108"/>
      <c r="BA29" s="108"/>
      <c r="BB29" s="107"/>
      <c r="BC29" s="108"/>
      <c r="BD29" s="108"/>
      <c r="BE29" s="107"/>
      <c r="BF29" s="108"/>
      <c r="BG29" s="108"/>
      <c r="BH29" s="108"/>
      <c r="BI29" s="108"/>
      <c r="BJ29" s="108"/>
      <c r="BK29" s="107"/>
      <c r="BL29" s="108"/>
      <c r="BM29" s="108"/>
      <c r="BN29" s="108"/>
      <c r="BO29" s="107"/>
      <c r="BP29" s="108"/>
      <c r="BQ29" s="107"/>
      <c r="BR29" s="108"/>
      <c r="BS29" s="108"/>
      <c r="BT29" s="108"/>
      <c r="BU29" s="108"/>
      <c r="BV29" s="109"/>
      <c r="BW29" s="108"/>
      <c r="BX29" s="108"/>
    </row>
    <row r="30" spans="1:76" s="98" customFormat="1" ht="15">
      <c r="A30" s="91">
        <v>4</v>
      </c>
      <c r="B30" s="91" t="s">
        <v>55</v>
      </c>
      <c r="C30" s="91" t="s">
        <v>56</v>
      </c>
      <c r="D30" s="98" t="s">
        <v>67</v>
      </c>
      <c r="E30" s="99" t="s">
        <v>71</v>
      </c>
      <c r="F30" s="91" t="s">
        <v>134</v>
      </c>
      <c r="G30" s="100">
        <v>41621</v>
      </c>
      <c r="H30" s="100"/>
      <c r="I30" s="100">
        <v>41949</v>
      </c>
      <c r="J30" s="101">
        <v>42060</v>
      </c>
      <c r="K30" s="94" t="s">
        <v>116</v>
      </c>
      <c r="L30" s="95">
        <f t="shared" si="17"/>
        <v>439</v>
      </c>
      <c r="M30" s="95">
        <v>704</v>
      </c>
      <c r="N30" s="95">
        <v>734</v>
      </c>
      <c r="O30" s="95">
        <v>740</v>
      </c>
      <c r="P30" s="102">
        <f t="shared" si="18"/>
        <v>737</v>
      </c>
      <c r="Q30" s="103"/>
      <c r="R30" s="102"/>
      <c r="S30" s="103"/>
      <c r="T30" s="104"/>
      <c r="U30" s="103"/>
      <c r="V30" s="119">
        <v>1120</v>
      </c>
      <c r="W30" s="103">
        <v>1155</v>
      </c>
      <c r="X30" s="103">
        <f t="shared" si="19"/>
        <v>1137.5</v>
      </c>
      <c r="Y30" s="104">
        <f t="shared" si="20"/>
        <v>2.591116173120729</v>
      </c>
      <c r="Z30" s="103">
        <f t="shared" si="21"/>
        <v>400.5</v>
      </c>
      <c r="AA30" s="105">
        <f t="shared" si="22"/>
        <v>3.575892857142857</v>
      </c>
      <c r="AB30" s="112">
        <v>52</v>
      </c>
      <c r="AC30" s="106">
        <f t="shared" si="23"/>
        <v>5.6892208700000015</v>
      </c>
      <c r="AD30" s="118">
        <v>12.877</v>
      </c>
      <c r="AE30" s="105">
        <f t="shared" si="24"/>
        <v>1.1320439560439561</v>
      </c>
      <c r="AF30" s="118">
        <v>0.333285</v>
      </c>
      <c r="AG30" s="118">
        <v>4.08712</v>
      </c>
      <c r="AH30" s="112">
        <v>37</v>
      </c>
      <c r="AI30" s="103">
        <v>1</v>
      </c>
      <c r="AJ30" s="103">
        <v>5</v>
      </c>
      <c r="AK30" s="112">
        <v>16</v>
      </c>
      <c r="AL30" s="112">
        <v>12</v>
      </c>
      <c r="AM30" s="105">
        <f t="shared" si="25"/>
        <v>192</v>
      </c>
      <c r="AN30" s="105">
        <f t="shared" si="26"/>
        <v>103.64906832298135</v>
      </c>
      <c r="AO30" s="104">
        <f t="shared" si="27"/>
        <v>100.18088106583684</v>
      </c>
      <c r="AP30" s="105">
        <f t="shared" si="28"/>
        <v>92.2105399687092</v>
      </c>
      <c r="AQ30" s="104">
        <f t="shared" si="29"/>
        <v>101.41736972704713</v>
      </c>
      <c r="AR30" s="105">
        <f t="shared" si="30"/>
        <v>96.1038961038961</v>
      </c>
      <c r="AS30" s="105">
        <f t="shared" si="31"/>
        <v>99.46686825960265</v>
      </c>
      <c r="AT30" s="91" t="s">
        <v>150</v>
      </c>
      <c r="AU30" s="91"/>
      <c r="AV30" s="91"/>
      <c r="AW30" s="107"/>
      <c r="AX30" s="108"/>
      <c r="AY30" s="108"/>
      <c r="AZ30" s="108"/>
      <c r="BA30" s="108"/>
      <c r="BB30" s="107"/>
      <c r="BC30" s="108"/>
      <c r="BD30" s="108"/>
      <c r="BE30" s="107"/>
      <c r="BF30" s="108"/>
      <c r="BG30" s="108"/>
      <c r="BH30" s="108"/>
      <c r="BI30" s="108"/>
      <c r="BJ30" s="108"/>
      <c r="BK30" s="107"/>
      <c r="BL30" s="108"/>
      <c r="BM30" s="108"/>
      <c r="BN30" s="108"/>
      <c r="BO30" s="107"/>
      <c r="BP30" s="108"/>
      <c r="BQ30" s="107"/>
      <c r="BR30" s="108"/>
      <c r="BS30" s="108"/>
      <c r="BT30" s="108"/>
      <c r="BU30" s="108"/>
      <c r="BV30" s="109"/>
      <c r="BW30" s="108"/>
      <c r="BX30" s="108"/>
    </row>
    <row r="31" spans="1:76" ht="15">
      <c r="A31" s="91">
        <v>5</v>
      </c>
      <c r="B31" s="91" t="s">
        <v>55</v>
      </c>
      <c r="C31" s="91" t="s">
        <v>56</v>
      </c>
      <c r="D31" s="98" t="s">
        <v>67</v>
      </c>
      <c r="E31" s="99" t="s">
        <v>72</v>
      </c>
      <c r="F31" s="91" t="s">
        <v>134</v>
      </c>
      <c r="G31" s="100">
        <v>41583</v>
      </c>
      <c r="I31" s="100">
        <v>41949</v>
      </c>
      <c r="J31" s="101">
        <v>42060</v>
      </c>
      <c r="K31" s="94" t="s">
        <v>116</v>
      </c>
      <c r="L31" s="95">
        <f t="shared" si="17"/>
        <v>477</v>
      </c>
      <c r="M31" s="95">
        <v>922</v>
      </c>
      <c r="N31" s="95">
        <v>976</v>
      </c>
      <c r="O31" s="95">
        <v>982</v>
      </c>
      <c r="P31" s="102">
        <f t="shared" si="18"/>
        <v>979</v>
      </c>
      <c r="Q31" s="103"/>
      <c r="S31" s="103"/>
      <c r="T31" s="104"/>
      <c r="U31" s="103"/>
      <c r="V31" s="119">
        <v>1535</v>
      </c>
      <c r="W31" s="103">
        <v>1555</v>
      </c>
      <c r="X31" s="103">
        <f t="shared" si="19"/>
        <v>1545</v>
      </c>
      <c r="Y31" s="104">
        <f t="shared" si="20"/>
        <v>3.238993710691824</v>
      </c>
      <c r="Z31" s="103">
        <f t="shared" si="21"/>
        <v>566</v>
      </c>
      <c r="AA31" s="105">
        <f t="shared" si="22"/>
        <v>5.053571428571429</v>
      </c>
      <c r="AB31" s="106">
        <v>55</v>
      </c>
      <c r="AC31" s="106">
        <f t="shared" si="23"/>
        <v>6.762109130000002</v>
      </c>
      <c r="AD31" s="118">
        <v>16.4901</v>
      </c>
      <c r="AE31" s="105">
        <f t="shared" si="24"/>
        <v>1.0673203883495146</v>
      </c>
      <c r="AF31" s="118">
        <v>0.282045</v>
      </c>
      <c r="AG31" s="118">
        <v>3.29667</v>
      </c>
      <c r="AH31" s="106">
        <v>46</v>
      </c>
      <c r="AI31" s="103">
        <v>3</v>
      </c>
      <c r="AJ31" s="103">
        <v>7</v>
      </c>
      <c r="AK31" s="106">
        <v>16.5</v>
      </c>
      <c r="AL31" s="106">
        <v>12.5</v>
      </c>
      <c r="AM31" s="105">
        <f t="shared" si="25"/>
        <v>206.25</v>
      </c>
      <c r="AN31" s="105">
        <f t="shared" si="26"/>
        <v>146.48033126293996</v>
      </c>
      <c r="AO31" s="104">
        <f t="shared" si="27"/>
        <v>94.45313171234643</v>
      </c>
      <c r="AP31" s="105">
        <f t="shared" si="28"/>
        <v>115.26668009579444</v>
      </c>
      <c r="AQ31" s="104">
        <f t="shared" si="29"/>
        <v>81.80322580645162</v>
      </c>
      <c r="AR31" s="105">
        <f t="shared" si="30"/>
        <v>119.48051948051948</v>
      </c>
      <c r="AS31" s="105">
        <f t="shared" si="31"/>
        <v>114.19675884985244</v>
      </c>
      <c r="AT31" s="91" t="s">
        <v>149</v>
      </c>
      <c r="AW31" s="107"/>
      <c r="AX31" s="108"/>
      <c r="AY31" s="108"/>
      <c r="AZ31" s="108"/>
      <c r="BA31" s="108"/>
      <c r="BB31" s="107"/>
      <c r="BC31" s="108"/>
      <c r="BD31" s="108"/>
      <c r="BF31" s="108"/>
      <c r="BG31" s="108"/>
      <c r="BH31" s="108"/>
      <c r="BI31" s="108"/>
      <c r="BJ31" s="108"/>
      <c r="BK31" s="107"/>
      <c r="BL31" s="108"/>
      <c r="BM31" s="108"/>
      <c r="BN31" s="108"/>
      <c r="BO31" s="107"/>
      <c r="BP31" s="108"/>
      <c r="BQ31" s="107"/>
      <c r="BR31" s="108"/>
      <c r="BS31" s="108"/>
      <c r="BT31" s="108"/>
      <c r="BU31" s="108"/>
      <c r="BV31" s="109"/>
      <c r="BW31" s="108"/>
      <c r="BX31" s="108"/>
    </row>
    <row r="32" spans="1:76" ht="15">
      <c r="A32" s="91">
        <v>21</v>
      </c>
      <c r="B32" s="91" t="s">
        <v>55</v>
      </c>
      <c r="C32" s="91" t="s">
        <v>56</v>
      </c>
      <c r="D32" s="91" t="s">
        <v>61</v>
      </c>
      <c r="E32" s="99" t="s">
        <v>88</v>
      </c>
      <c r="F32" s="91" t="s">
        <v>59</v>
      </c>
      <c r="G32" s="100">
        <v>41579</v>
      </c>
      <c r="I32" s="100">
        <v>41949</v>
      </c>
      <c r="J32" s="101">
        <v>42060</v>
      </c>
      <c r="K32" s="111" t="s">
        <v>125</v>
      </c>
      <c r="L32" s="95">
        <f t="shared" si="17"/>
        <v>481</v>
      </c>
      <c r="M32" s="95">
        <v>886</v>
      </c>
      <c r="N32" s="95">
        <v>1000</v>
      </c>
      <c r="O32" s="95">
        <v>978</v>
      </c>
      <c r="P32" s="102">
        <f t="shared" si="18"/>
        <v>989</v>
      </c>
      <c r="Q32" s="103"/>
      <c r="S32" s="103"/>
      <c r="T32" s="104"/>
      <c r="U32" s="103"/>
      <c r="V32" s="119">
        <v>1270</v>
      </c>
      <c r="W32" s="103">
        <v>1270</v>
      </c>
      <c r="X32" s="103">
        <f t="shared" si="19"/>
        <v>1270</v>
      </c>
      <c r="Y32" s="104">
        <f t="shared" si="20"/>
        <v>2.64033264033264</v>
      </c>
      <c r="Z32" s="103">
        <f t="shared" si="21"/>
        <v>281</v>
      </c>
      <c r="AA32" s="105">
        <f t="shared" si="22"/>
        <v>2.5089285714285716</v>
      </c>
      <c r="AB32" s="106">
        <v>52.5</v>
      </c>
      <c r="AC32" s="106">
        <f t="shared" si="23"/>
        <v>5.5166648700000005</v>
      </c>
      <c r="AD32" s="118">
        <v>13.5715</v>
      </c>
      <c r="AE32" s="105">
        <f t="shared" si="24"/>
        <v>1.0686220472440946</v>
      </c>
      <c r="AF32" s="118">
        <v>0.191712</v>
      </c>
      <c r="AG32" s="118">
        <v>3.93976</v>
      </c>
      <c r="AH32" s="106">
        <v>37</v>
      </c>
      <c r="AI32" s="103">
        <v>2</v>
      </c>
      <c r="AJ32" s="103">
        <v>7</v>
      </c>
      <c r="AK32" s="106">
        <v>15</v>
      </c>
      <c r="AL32" s="106">
        <v>12</v>
      </c>
      <c r="AM32" s="105">
        <f t="shared" si="25"/>
        <v>180</v>
      </c>
      <c r="AN32" s="105">
        <f t="shared" si="26"/>
        <v>72.72256728778468</v>
      </c>
      <c r="AO32" s="104">
        <f t="shared" si="27"/>
        <v>94.56832276496414</v>
      </c>
      <c r="AP32" s="105">
        <f t="shared" si="28"/>
        <v>93.96201567020071</v>
      </c>
      <c r="AQ32" s="104">
        <f t="shared" si="29"/>
        <v>97.760794044665</v>
      </c>
      <c r="AR32" s="105">
        <f t="shared" si="30"/>
        <v>96.1038961038961</v>
      </c>
      <c r="AS32" s="105">
        <f t="shared" si="31"/>
        <v>88.68538629269099</v>
      </c>
      <c r="AW32" s="107"/>
      <c r="AX32" s="108"/>
      <c r="AY32" s="108"/>
      <c r="AZ32" s="108"/>
      <c r="BA32" s="108"/>
      <c r="BB32" s="107"/>
      <c r="BC32" s="108"/>
      <c r="BD32" s="108"/>
      <c r="BF32" s="108"/>
      <c r="BG32" s="108"/>
      <c r="BH32" s="108"/>
      <c r="BI32" s="108"/>
      <c r="BJ32" s="108"/>
      <c r="BK32" s="107"/>
      <c r="BL32" s="108"/>
      <c r="BM32" s="108"/>
      <c r="BN32" s="108"/>
      <c r="BO32" s="107"/>
      <c r="BP32" s="108"/>
      <c r="BQ32" s="107"/>
      <c r="BR32" s="108"/>
      <c r="BS32" s="108"/>
      <c r="BT32" s="108"/>
      <c r="BU32" s="108"/>
      <c r="BV32" s="109"/>
      <c r="BW32" s="108"/>
      <c r="BX32" s="108"/>
    </row>
    <row r="33" spans="1:76" ht="15">
      <c r="A33" s="91">
        <v>29</v>
      </c>
      <c r="B33" s="91" t="s">
        <v>55</v>
      </c>
      <c r="C33" s="91" t="s">
        <v>56</v>
      </c>
      <c r="D33" s="98" t="s">
        <v>110</v>
      </c>
      <c r="E33" s="99" t="s">
        <v>95</v>
      </c>
      <c r="F33" s="91" t="s">
        <v>59</v>
      </c>
      <c r="G33" s="100">
        <v>41621</v>
      </c>
      <c r="I33" s="100">
        <v>41949</v>
      </c>
      <c r="J33" s="101">
        <v>42060</v>
      </c>
      <c r="K33" s="94" t="s">
        <v>128</v>
      </c>
      <c r="L33" s="95">
        <f t="shared" si="17"/>
        <v>439</v>
      </c>
      <c r="M33" s="95">
        <v>982</v>
      </c>
      <c r="N33" s="95">
        <v>1015</v>
      </c>
      <c r="O33" s="95">
        <v>1030</v>
      </c>
      <c r="P33" s="102">
        <f t="shared" si="18"/>
        <v>1022.5</v>
      </c>
      <c r="Q33" s="103"/>
      <c r="S33" s="103"/>
      <c r="T33" s="104"/>
      <c r="U33" s="103"/>
      <c r="V33" s="119">
        <v>1245</v>
      </c>
      <c r="W33" s="103">
        <v>1260</v>
      </c>
      <c r="X33" s="103">
        <f t="shared" si="19"/>
        <v>1252.5</v>
      </c>
      <c r="Y33" s="104">
        <f t="shared" si="20"/>
        <v>2.853075170842825</v>
      </c>
      <c r="Z33" s="103">
        <f t="shared" si="21"/>
        <v>230</v>
      </c>
      <c r="AA33" s="105">
        <f t="shared" si="22"/>
        <v>2.0535714285714284</v>
      </c>
      <c r="AB33" s="112">
        <v>53</v>
      </c>
      <c r="AC33" s="106">
        <f t="shared" si="23"/>
        <v>6.140364370000002</v>
      </c>
      <c r="AD33" s="118">
        <v>14.9551</v>
      </c>
      <c r="AE33" s="105">
        <f t="shared" si="24"/>
        <v>1.1940199600798402</v>
      </c>
      <c r="AF33" s="118">
        <v>0.199876</v>
      </c>
      <c r="AG33" s="118">
        <v>3.63278</v>
      </c>
      <c r="AH33" s="106">
        <v>36</v>
      </c>
      <c r="AI33" s="103">
        <v>2</v>
      </c>
      <c r="AJ33" s="103">
        <v>6</v>
      </c>
      <c r="AK33" s="106">
        <v>15.5</v>
      </c>
      <c r="AL33" s="106">
        <v>12</v>
      </c>
      <c r="AM33" s="105">
        <f t="shared" si="25"/>
        <v>186</v>
      </c>
      <c r="AN33" s="105">
        <f t="shared" si="26"/>
        <v>59.52380952380951</v>
      </c>
      <c r="AO33" s="104">
        <f t="shared" si="27"/>
        <v>105.66548319290622</v>
      </c>
      <c r="AP33" s="105">
        <f t="shared" si="28"/>
        <v>101.53292422928202</v>
      </c>
      <c r="AQ33" s="104">
        <f t="shared" si="29"/>
        <v>90.14342431761786</v>
      </c>
      <c r="AR33" s="105">
        <f t="shared" si="30"/>
        <v>93.5064935064935</v>
      </c>
      <c r="AS33" s="105">
        <f t="shared" si="31"/>
        <v>86.67615855575343</v>
      </c>
      <c r="AW33" s="107"/>
      <c r="AX33" s="108"/>
      <c r="AY33" s="108"/>
      <c r="AZ33" s="108"/>
      <c r="BA33" s="108"/>
      <c r="BB33" s="107"/>
      <c r="BC33" s="108"/>
      <c r="BD33" s="108"/>
      <c r="BE33" s="107"/>
      <c r="BF33" s="108"/>
      <c r="BG33" s="108"/>
      <c r="BH33" s="108"/>
      <c r="BI33" s="108"/>
      <c r="BJ33" s="108"/>
      <c r="BK33" s="107"/>
      <c r="BL33" s="108"/>
      <c r="BM33" s="108"/>
      <c r="BN33" s="108"/>
      <c r="BO33" s="107"/>
      <c r="BP33" s="108"/>
      <c r="BQ33" s="107"/>
      <c r="BR33" s="108"/>
      <c r="BS33" s="108"/>
      <c r="BT33" s="108"/>
      <c r="BU33" s="108"/>
      <c r="BV33" s="109"/>
      <c r="BW33" s="108"/>
      <c r="BX33" s="108"/>
    </row>
    <row r="34" spans="1:76" ht="15">
      <c r="A34" s="91">
        <v>32</v>
      </c>
      <c r="B34" s="91" t="s">
        <v>55</v>
      </c>
      <c r="C34" s="91" t="s">
        <v>56</v>
      </c>
      <c r="D34" s="98" t="s">
        <v>110</v>
      </c>
      <c r="E34" s="115" t="s">
        <v>98</v>
      </c>
      <c r="F34" s="91" t="s">
        <v>138</v>
      </c>
      <c r="G34" s="100">
        <v>41628</v>
      </c>
      <c r="I34" s="100">
        <v>41949</v>
      </c>
      <c r="J34" s="101">
        <v>42060</v>
      </c>
      <c r="K34" s="94" t="s">
        <v>128</v>
      </c>
      <c r="L34" s="95">
        <f t="shared" si="17"/>
        <v>432</v>
      </c>
      <c r="M34" s="95">
        <v>966</v>
      </c>
      <c r="N34" s="95">
        <v>1040</v>
      </c>
      <c r="O34" s="95">
        <v>1015</v>
      </c>
      <c r="P34" s="102">
        <f t="shared" si="18"/>
        <v>1027.5</v>
      </c>
      <c r="Q34" s="103"/>
      <c r="S34" s="103"/>
      <c r="T34" s="104"/>
      <c r="U34" s="103"/>
      <c r="V34" s="119">
        <v>1435</v>
      </c>
      <c r="W34" s="102">
        <v>1465</v>
      </c>
      <c r="X34" s="103">
        <f t="shared" si="19"/>
        <v>1450</v>
      </c>
      <c r="Y34" s="104">
        <f t="shared" si="20"/>
        <v>3.3564814814814814</v>
      </c>
      <c r="Z34" s="103">
        <f t="shared" si="21"/>
        <v>422.5</v>
      </c>
      <c r="AA34" s="105">
        <f t="shared" si="22"/>
        <v>3.7723214285714284</v>
      </c>
      <c r="AB34" s="106">
        <v>52.5</v>
      </c>
      <c r="AC34" s="106">
        <f>-11.548+0.4878*(AB34)-0.0289*(L34)+0.00001947*(L34*L34)+0.0000334*(AB36*L34)</f>
        <v>5.96056688</v>
      </c>
      <c r="AD34" s="118">
        <v>17.3336</v>
      </c>
      <c r="AE34" s="105">
        <f t="shared" si="24"/>
        <v>1.1954206896551725</v>
      </c>
      <c r="AF34" s="118">
        <v>0.292763</v>
      </c>
      <c r="AG34" s="118">
        <v>3.86917</v>
      </c>
      <c r="AH34" s="112">
        <v>43</v>
      </c>
      <c r="AI34" s="103">
        <v>1</v>
      </c>
      <c r="AJ34" s="103">
        <v>7</v>
      </c>
      <c r="AK34" s="112">
        <v>15</v>
      </c>
      <c r="AL34" s="112">
        <v>12</v>
      </c>
      <c r="AM34" s="105">
        <f t="shared" si="25"/>
        <v>180</v>
      </c>
      <c r="AN34" s="105">
        <f t="shared" si="26"/>
        <v>109.34265010351967</v>
      </c>
      <c r="AO34" s="104">
        <f t="shared" si="27"/>
        <v>105.78944156240466</v>
      </c>
      <c r="AP34" s="105">
        <f t="shared" si="28"/>
        <v>119.44773955450113</v>
      </c>
      <c r="AQ34" s="104">
        <f t="shared" si="29"/>
        <v>96.0091811414392</v>
      </c>
      <c r="AR34" s="105">
        <f t="shared" si="30"/>
        <v>111.68831168831169</v>
      </c>
      <c r="AS34" s="105">
        <f t="shared" si="31"/>
        <v>108.22089865155607</v>
      </c>
      <c r="AW34" s="107"/>
      <c r="AX34" s="108"/>
      <c r="AY34" s="108"/>
      <c r="AZ34" s="108"/>
      <c r="BA34" s="108"/>
      <c r="BB34" s="107"/>
      <c r="BC34" s="108"/>
      <c r="BD34" s="108"/>
      <c r="BF34" s="108"/>
      <c r="BG34" s="108"/>
      <c r="BH34" s="108"/>
      <c r="BI34" s="108"/>
      <c r="BJ34" s="108"/>
      <c r="BK34" s="107"/>
      <c r="BL34" s="108"/>
      <c r="BM34" s="108"/>
      <c r="BN34" s="108"/>
      <c r="BO34" s="107"/>
      <c r="BP34" s="108"/>
      <c r="BQ34" s="107"/>
      <c r="BR34" s="108"/>
      <c r="BS34" s="108"/>
      <c r="BT34" s="108"/>
      <c r="BU34" s="108"/>
      <c r="BV34" s="109"/>
      <c r="BW34" s="108"/>
      <c r="BX34" s="108"/>
    </row>
    <row r="35" spans="4:76" s="121" customFormat="1" ht="15.75">
      <c r="D35" s="120" t="s">
        <v>146</v>
      </c>
      <c r="E35" s="84"/>
      <c r="G35" s="122"/>
      <c r="H35" s="122"/>
      <c r="I35" s="122"/>
      <c r="J35" s="123"/>
      <c r="K35" s="124"/>
      <c r="L35" s="125">
        <f>AVERAGE(L25:L34)</f>
        <v>455.6</v>
      </c>
      <c r="M35" s="125">
        <f aca="true" t="shared" si="32" ref="M35:AS35">AVERAGE(M25:M34)</f>
        <v>842</v>
      </c>
      <c r="N35" s="125">
        <f t="shared" si="32"/>
        <v>894.7</v>
      </c>
      <c r="O35" s="125">
        <f t="shared" si="32"/>
        <v>890.5</v>
      </c>
      <c r="P35" s="125">
        <f t="shared" si="32"/>
        <v>892.6</v>
      </c>
      <c r="Q35" s="125" t="e">
        <f t="shared" si="32"/>
        <v>#DIV/0!</v>
      </c>
      <c r="R35" s="125" t="e">
        <f t="shared" si="32"/>
        <v>#DIV/0!</v>
      </c>
      <c r="S35" s="125" t="e">
        <f t="shared" si="32"/>
        <v>#DIV/0!</v>
      </c>
      <c r="T35" s="125" t="e">
        <f t="shared" si="32"/>
        <v>#DIV/0!</v>
      </c>
      <c r="U35" s="125" t="e">
        <f t="shared" si="32"/>
        <v>#DIV/0!</v>
      </c>
      <c r="V35" s="125">
        <f t="shared" si="32"/>
        <v>1270</v>
      </c>
      <c r="W35" s="125">
        <f t="shared" si="32"/>
        <v>1287</v>
      </c>
      <c r="X35" s="125">
        <f t="shared" si="32"/>
        <v>1278.5</v>
      </c>
      <c r="Y35" s="127">
        <f t="shared" si="32"/>
        <v>2.8105638163580045</v>
      </c>
      <c r="Z35" s="125">
        <f t="shared" si="32"/>
        <v>385.9</v>
      </c>
      <c r="AA35" s="127">
        <f t="shared" si="32"/>
        <v>3.4455357142857146</v>
      </c>
      <c r="AB35" s="126">
        <f t="shared" si="32"/>
        <v>52.95</v>
      </c>
      <c r="AC35" s="126">
        <f t="shared" si="32"/>
        <v>5.970987396</v>
      </c>
      <c r="AD35" s="127">
        <f t="shared" si="32"/>
        <v>14.473009999999999</v>
      </c>
      <c r="AE35" s="127">
        <f t="shared" si="32"/>
        <v>1.1331779527365904</v>
      </c>
      <c r="AF35" s="127">
        <f t="shared" si="32"/>
        <v>0.23912970000000003</v>
      </c>
      <c r="AG35" s="127">
        <f t="shared" si="32"/>
        <v>4.0305029999999995</v>
      </c>
      <c r="AH35" s="126">
        <f t="shared" si="32"/>
        <v>38.5</v>
      </c>
      <c r="AI35" s="125">
        <f t="shared" si="32"/>
        <v>2.3</v>
      </c>
      <c r="AJ35" s="125">
        <f t="shared" si="32"/>
        <v>6.2</v>
      </c>
      <c r="AK35" s="126">
        <f t="shared" si="32"/>
        <v>15.5</v>
      </c>
      <c r="AL35" s="126">
        <f t="shared" si="32"/>
        <v>12.45</v>
      </c>
      <c r="AM35" s="127">
        <f t="shared" si="32"/>
        <v>193.075</v>
      </c>
      <c r="AN35" s="127">
        <f t="shared" si="32"/>
        <v>99.87060041407867</v>
      </c>
      <c r="AO35" s="127">
        <f t="shared" si="32"/>
        <v>100.2812347554505</v>
      </c>
      <c r="AP35" s="127">
        <f t="shared" si="32"/>
        <v>100.02006463907489</v>
      </c>
      <c r="AQ35" s="127">
        <f t="shared" si="32"/>
        <v>100.01248138957816</v>
      </c>
      <c r="AR35" s="127">
        <f t="shared" si="32"/>
        <v>99.99999999999999</v>
      </c>
      <c r="AS35" s="127">
        <f t="shared" si="32"/>
        <v>100.0239362810443</v>
      </c>
      <c r="AW35" s="128"/>
      <c r="AX35" s="129"/>
      <c r="AY35" s="129"/>
      <c r="AZ35" s="129"/>
      <c r="BA35" s="129"/>
      <c r="BB35" s="128"/>
      <c r="BC35" s="129"/>
      <c r="BD35" s="129"/>
      <c r="BE35" s="125"/>
      <c r="BF35" s="129"/>
      <c r="BG35" s="129"/>
      <c r="BH35" s="129"/>
      <c r="BI35" s="129"/>
      <c r="BJ35" s="129"/>
      <c r="BK35" s="128"/>
      <c r="BL35" s="129"/>
      <c r="BM35" s="129"/>
      <c r="BN35" s="129"/>
      <c r="BO35" s="128"/>
      <c r="BP35" s="129"/>
      <c r="BQ35" s="128"/>
      <c r="BR35" s="129"/>
      <c r="BS35" s="129"/>
      <c r="BT35" s="129"/>
      <c r="BU35" s="129"/>
      <c r="BV35" s="130"/>
      <c r="BW35" s="129"/>
      <c r="BX35" s="129"/>
    </row>
    <row r="36" spans="1:45" ht="15">
      <c r="A36" s="91">
        <v>13</v>
      </c>
      <c r="B36" s="91" t="s">
        <v>54</v>
      </c>
      <c r="C36" s="91" t="s">
        <v>41</v>
      </c>
      <c r="D36" s="91" t="s">
        <v>65</v>
      </c>
      <c r="E36" s="99" t="s">
        <v>80</v>
      </c>
      <c r="F36" s="91" t="s">
        <v>62</v>
      </c>
      <c r="G36" s="100">
        <v>41563</v>
      </c>
      <c r="I36" s="100">
        <v>41949</v>
      </c>
      <c r="J36" s="101">
        <v>42060</v>
      </c>
      <c r="K36" s="94" t="s">
        <v>121</v>
      </c>
      <c r="L36" s="95">
        <f>J36-G36</f>
        <v>497</v>
      </c>
      <c r="M36" s="95">
        <v>850</v>
      </c>
      <c r="N36" s="95">
        <v>948</v>
      </c>
      <c r="O36" s="95">
        <v>946</v>
      </c>
      <c r="P36" s="102">
        <f>AVERAGE(N36:O36)</f>
        <v>947</v>
      </c>
      <c r="Q36" s="103"/>
      <c r="S36" s="103"/>
      <c r="T36" s="104"/>
      <c r="U36" s="103"/>
      <c r="V36" s="119">
        <v>1235</v>
      </c>
      <c r="W36" s="102">
        <v>1230</v>
      </c>
      <c r="X36" s="103">
        <f>(V36+W36)/2</f>
        <v>1232.5</v>
      </c>
      <c r="Y36" s="104">
        <f>(X36/L36)</f>
        <v>2.4798792756539236</v>
      </c>
      <c r="Z36" s="103">
        <f>(X36-P36)</f>
        <v>285.5</v>
      </c>
      <c r="AA36" s="105">
        <f>(Z36/112)</f>
        <v>2.549107142857143</v>
      </c>
      <c r="AB36" s="106">
        <v>52</v>
      </c>
      <c r="AC36" s="106">
        <f>-11.548+0.4878*(AB36)-0.0289*(L36)+0.00001947*(L36*L36)+0.0000334*(AB37*L36)</f>
        <v>5.209753830000002</v>
      </c>
      <c r="AD36" s="118">
        <v>13.1583</v>
      </c>
      <c r="AE36" s="105">
        <f>AD36/X36*100</f>
        <v>1.0676105476673428</v>
      </c>
      <c r="AF36" s="118">
        <v>0.22118</v>
      </c>
      <c r="AG36" s="118">
        <v>3.53329</v>
      </c>
      <c r="AH36" s="106">
        <v>34</v>
      </c>
      <c r="AI36" s="103">
        <v>3</v>
      </c>
      <c r="AJ36" s="103">
        <v>7</v>
      </c>
      <c r="AK36" s="106">
        <v>14</v>
      </c>
      <c r="AL36" s="106">
        <v>10</v>
      </c>
      <c r="AM36" s="105">
        <f>(AK36*AL36)</f>
        <v>140</v>
      </c>
      <c r="AN36" s="105">
        <f>(AA36/2.74)*100</f>
        <v>93.03310740354534</v>
      </c>
      <c r="AO36" s="104">
        <f>(AE36/1.12)*100</f>
        <v>95.3223703274413</v>
      </c>
      <c r="AP36" s="105">
        <f>(Y36/2.6)*100</f>
        <v>95.37997214053551</v>
      </c>
      <c r="AQ36" s="104">
        <f>(AG36/3.75)*100</f>
        <v>94.22106666666666</v>
      </c>
      <c r="AR36" s="105">
        <f>(AH36/36.1)*100</f>
        <v>94.18282548476455</v>
      </c>
      <c r="AS36" s="105">
        <f>(AN36*0.3)+(AO36*0.2)+(AP36*0.2)+(AQ36*0.2)+(AR36*0.1)</f>
        <v>94.31289659646876</v>
      </c>
    </row>
    <row r="37" spans="1:76" ht="15">
      <c r="A37" s="91">
        <v>6</v>
      </c>
      <c r="B37" s="91" t="s">
        <v>54</v>
      </c>
      <c r="C37" s="91" t="s">
        <v>41</v>
      </c>
      <c r="D37" s="98" t="s">
        <v>103</v>
      </c>
      <c r="E37" s="99" t="s">
        <v>73</v>
      </c>
      <c r="F37" s="91" t="s">
        <v>134</v>
      </c>
      <c r="G37" s="100">
        <v>41469</v>
      </c>
      <c r="I37" s="100">
        <v>41949</v>
      </c>
      <c r="J37" s="101">
        <v>42060</v>
      </c>
      <c r="K37" s="94" t="s">
        <v>117</v>
      </c>
      <c r="L37" s="95">
        <f>J37-G37</f>
        <v>591</v>
      </c>
      <c r="M37" s="95">
        <v>1135</v>
      </c>
      <c r="N37" s="95">
        <v>1150</v>
      </c>
      <c r="O37" s="95">
        <v>1135</v>
      </c>
      <c r="P37" s="102">
        <f>AVERAGE(N37:O37)</f>
        <v>1142.5</v>
      </c>
      <c r="Q37" s="103"/>
      <c r="S37" s="103"/>
      <c r="T37" s="104"/>
      <c r="U37" s="103"/>
      <c r="V37" s="119">
        <v>1500</v>
      </c>
      <c r="W37" s="102">
        <v>1505</v>
      </c>
      <c r="X37" s="103">
        <f>(V37+W37)/2</f>
        <v>1502.5</v>
      </c>
      <c r="Y37" s="104">
        <f>(X37/L37)</f>
        <v>2.542301184433164</v>
      </c>
      <c r="Z37" s="103">
        <f>(X37-P37)</f>
        <v>360</v>
      </c>
      <c r="AA37" s="105">
        <f>(Z37/112)</f>
        <v>3.2142857142857144</v>
      </c>
      <c r="AB37" s="106">
        <v>57</v>
      </c>
      <c r="AC37" s="106">
        <f>-11.548+0.4878*(AB37)-0.0289*(L37)+0.00001947*(L37*L37)+0.0000334*(AB38*L37)</f>
        <v>7.052998370000001</v>
      </c>
      <c r="AD37" s="118">
        <v>17.3844</v>
      </c>
      <c r="AE37" s="105">
        <f>AD37/X37*100</f>
        <v>1.1570316139767054</v>
      </c>
      <c r="AF37" s="118">
        <v>0.339227</v>
      </c>
      <c r="AG37" s="118">
        <v>3.01438</v>
      </c>
      <c r="AH37" s="106">
        <v>35</v>
      </c>
      <c r="AI37" s="103">
        <v>4</v>
      </c>
      <c r="AJ37" s="103">
        <v>7</v>
      </c>
      <c r="AK37" s="106">
        <v>17</v>
      </c>
      <c r="AL37" s="106">
        <v>13</v>
      </c>
      <c r="AM37" s="105">
        <f>(AK37*AL37)</f>
        <v>221</v>
      </c>
      <c r="AN37" s="105">
        <f>(AA37/2.74)*100</f>
        <v>117.3096976016684</v>
      </c>
      <c r="AO37" s="104">
        <f>(AE37/1.12)*100</f>
        <v>103.30639410506296</v>
      </c>
      <c r="AP37" s="105">
        <f>(Y37/2.6)*100</f>
        <v>97.78081478589093</v>
      </c>
      <c r="AQ37" s="104">
        <f>(AG37/3.75)*100</f>
        <v>80.38346666666666</v>
      </c>
      <c r="AR37" s="105">
        <f>(AH37/36.1)*100</f>
        <v>96.95290858725761</v>
      </c>
      <c r="AS37" s="105">
        <f>(AN37*0.3)+(AO37*0.2)+(AP37*0.2)+(AQ37*0.2)+(AR37*0.1)</f>
        <v>101.18233525075041</v>
      </c>
      <c r="AW37" s="107"/>
      <c r="AX37" s="108"/>
      <c r="AY37" s="108"/>
      <c r="AZ37" s="108"/>
      <c r="BA37" s="108"/>
      <c r="BB37" s="107"/>
      <c r="BC37" s="108"/>
      <c r="BD37" s="108"/>
      <c r="BE37" s="107"/>
      <c r="BF37" s="108"/>
      <c r="BG37" s="108"/>
      <c r="BH37" s="108"/>
      <c r="BI37" s="108"/>
      <c r="BJ37" s="108"/>
      <c r="BK37" s="107"/>
      <c r="BL37" s="108"/>
      <c r="BM37" s="108"/>
      <c r="BN37" s="108"/>
      <c r="BO37" s="107"/>
      <c r="BP37" s="108"/>
      <c r="BQ37" s="107"/>
      <c r="BR37" s="108"/>
      <c r="BS37" s="108"/>
      <c r="BT37" s="108"/>
      <c r="BU37" s="108"/>
      <c r="BV37" s="109"/>
      <c r="BW37" s="108"/>
      <c r="BX37" s="108"/>
    </row>
    <row r="38" spans="1:76" ht="15">
      <c r="A38" s="91">
        <v>26</v>
      </c>
      <c r="B38" s="91" t="s">
        <v>54</v>
      </c>
      <c r="C38" s="91" t="s">
        <v>41</v>
      </c>
      <c r="D38" s="98" t="s">
        <v>109</v>
      </c>
      <c r="E38" s="115" t="s">
        <v>92</v>
      </c>
      <c r="F38" s="91" t="s">
        <v>59</v>
      </c>
      <c r="G38" s="100">
        <v>41566</v>
      </c>
      <c r="I38" s="100">
        <v>41949</v>
      </c>
      <c r="J38" s="101">
        <v>42060</v>
      </c>
      <c r="K38" s="94" t="s">
        <v>127</v>
      </c>
      <c r="L38" s="95">
        <f>J38-G38</f>
        <v>494</v>
      </c>
      <c r="M38" s="95">
        <v>1015</v>
      </c>
      <c r="N38" s="95">
        <v>1125</v>
      </c>
      <c r="O38" s="95">
        <v>1075</v>
      </c>
      <c r="P38" s="102">
        <f>AVERAGE(N38:O38)</f>
        <v>1100</v>
      </c>
      <c r="Q38" s="103"/>
      <c r="S38" s="103"/>
      <c r="T38" s="104"/>
      <c r="U38" s="103"/>
      <c r="V38" s="119">
        <v>1320</v>
      </c>
      <c r="W38" s="103">
        <v>1325</v>
      </c>
      <c r="X38" s="103">
        <f>(V38+W38)/2</f>
        <v>1322.5</v>
      </c>
      <c r="Y38" s="104">
        <f>(X38/L38)</f>
        <v>2.6771255060728745</v>
      </c>
      <c r="Z38" s="103">
        <f>(X38-P38)</f>
        <v>222.5</v>
      </c>
      <c r="AA38" s="105">
        <f>(Z38/112)</f>
        <v>1.9866071428571428</v>
      </c>
      <c r="AB38" s="106">
        <v>54.5</v>
      </c>
      <c r="AC38" s="106">
        <f>-11.548+0.4878*(AB38)-0.0289*(L38)+0.00001947*(L38*L38)+0.0000334*(AB39*L38)</f>
        <v>6.435858520000001</v>
      </c>
      <c r="AD38" s="118">
        <v>15.2708</v>
      </c>
      <c r="AE38" s="105">
        <f>AD38/X38*100</f>
        <v>1.1546918714555765</v>
      </c>
      <c r="AF38" s="118">
        <v>0.249882</v>
      </c>
      <c r="AG38" s="118">
        <v>4.13199</v>
      </c>
      <c r="AH38" s="106">
        <v>36.5</v>
      </c>
      <c r="AI38" s="103">
        <v>2</v>
      </c>
      <c r="AJ38" s="103">
        <v>6</v>
      </c>
      <c r="AK38" s="106">
        <v>15</v>
      </c>
      <c r="AL38" s="106">
        <v>12.5</v>
      </c>
      <c r="AM38" s="105">
        <f>(AK38*AL38)</f>
        <v>187.5</v>
      </c>
      <c r="AN38" s="105">
        <f>(AA38/2.74)*100</f>
        <v>72.50391032325338</v>
      </c>
      <c r="AO38" s="104">
        <f>(AE38/1.12)*100</f>
        <v>103.09748852281932</v>
      </c>
      <c r="AP38" s="105">
        <f>(Y38/2.6)*100</f>
        <v>102.96636561818748</v>
      </c>
      <c r="AQ38" s="104">
        <f>(AG38/3.75)*100</f>
        <v>110.18639999999999</v>
      </c>
      <c r="AR38" s="105">
        <f>(AH38/36.1)*100</f>
        <v>101.10803324099722</v>
      </c>
      <c r="AS38" s="105">
        <f>(AN38*0.3)+(AO38*0.2)+(AP38*0.2)+(AQ38*0.2)+(AR38*0.1)</f>
        <v>95.11202724927709</v>
      </c>
      <c r="AW38" s="107"/>
      <c r="AX38" s="108"/>
      <c r="AY38" s="108"/>
      <c r="AZ38" s="108"/>
      <c r="BA38" s="108"/>
      <c r="BB38" s="107"/>
      <c r="BC38" s="108"/>
      <c r="BD38" s="108"/>
      <c r="BF38" s="108"/>
      <c r="BG38" s="108"/>
      <c r="BH38" s="108"/>
      <c r="BI38" s="108"/>
      <c r="BJ38" s="108"/>
      <c r="BK38" s="107"/>
      <c r="BL38" s="108"/>
      <c r="BM38" s="108"/>
      <c r="BN38" s="108"/>
      <c r="BO38" s="107"/>
      <c r="BP38" s="108"/>
      <c r="BQ38" s="107"/>
      <c r="BR38" s="108"/>
      <c r="BS38" s="108"/>
      <c r="BT38" s="108"/>
      <c r="BU38" s="108"/>
      <c r="BV38" s="109"/>
      <c r="BW38" s="108"/>
      <c r="BX38" s="108"/>
    </row>
    <row r="39" spans="1:76" ht="15">
      <c r="A39" s="91">
        <v>24</v>
      </c>
      <c r="B39" s="91" t="s">
        <v>54</v>
      </c>
      <c r="C39" s="91" t="s">
        <v>41</v>
      </c>
      <c r="D39" s="91" t="s">
        <v>61</v>
      </c>
      <c r="E39" s="99" t="s">
        <v>91</v>
      </c>
      <c r="F39" s="91" t="s">
        <v>59</v>
      </c>
      <c r="G39" s="100">
        <v>41530</v>
      </c>
      <c r="I39" s="100">
        <v>41949</v>
      </c>
      <c r="J39" s="101">
        <v>42060</v>
      </c>
      <c r="K39" s="94" t="s">
        <v>125</v>
      </c>
      <c r="L39" s="95">
        <f>J39-G39</f>
        <v>530</v>
      </c>
      <c r="M39" s="95">
        <v>1000</v>
      </c>
      <c r="N39" s="95">
        <v>1120</v>
      </c>
      <c r="O39" s="95">
        <v>1105</v>
      </c>
      <c r="P39" s="102">
        <f>AVERAGE(N39:O39)</f>
        <v>1112.5</v>
      </c>
      <c r="Q39" s="103"/>
      <c r="S39" s="103"/>
      <c r="T39" s="104"/>
      <c r="U39" s="103"/>
      <c r="V39" s="119">
        <v>1390</v>
      </c>
      <c r="W39" s="102">
        <v>1415</v>
      </c>
      <c r="X39" s="103">
        <f>(V39+W39)/2</f>
        <v>1402.5</v>
      </c>
      <c r="Y39" s="104">
        <f>(X39/L39)</f>
        <v>2.6462264150943398</v>
      </c>
      <c r="Z39" s="103">
        <f>(X39-P39)</f>
        <v>290</v>
      </c>
      <c r="AA39" s="105">
        <f>(Z39/112)</f>
        <v>2.5892857142857144</v>
      </c>
      <c r="AB39" s="106">
        <v>56</v>
      </c>
      <c r="AC39" s="106">
        <f>-11.548+0.4878*(AB39)-0.0289*(L39)+0.00001947*(L39*L39)+0.0000334*(AB40*L39)</f>
        <v>6.841427000000003</v>
      </c>
      <c r="AD39" s="118">
        <v>15.2561</v>
      </c>
      <c r="AE39" s="105">
        <f>AD39/X39*100</f>
        <v>1.0877789661319073</v>
      </c>
      <c r="AF39" s="118">
        <v>0.236617</v>
      </c>
      <c r="AG39" s="118">
        <v>3.74768</v>
      </c>
      <c r="AH39" s="106">
        <v>36</v>
      </c>
      <c r="AI39" s="103">
        <v>2</v>
      </c>
      <c r="AJ39" s="103">
        <v>7</v>
      </c>
      <c r="AK39" s="106">
        <v>16</v>
      </c>
      <c r="AL39" s="106">
        <v>12.5</v>
      </c>
      <c r="AM39" s="105">
        <f>(AK39*AL39)</f>
        <v>200</v>
      </c>
      <c r="AN39" s="105">
        <f>(AA39/2.74)*100</f>
        <v>94.49947862356622</v>
      </c>
      <c r="AO39" s="104">
        <f>(AE39/1.12)*100</f>
        <v>97.12312197606315</v>
      </c>
      <c r="AP39" s="105">
        <f>(Y39/2.6)*100</f>
        <v>101.77793904208998</v>
      </c>
      <c r="AQ39" s="104">
        <f>(AG39/3.75)*100</f>
        <v>99.93813333333334</v>
      </c>
      <c r="AR39" s="105">
        <f>(AH39/36.1)*100</f>
        <v>99.72299168975069</v>
      </c>
      <c r="AS39" s="105">
        <f>(AN39*0.3)+(AO39*0.2)+(AP39*0.2)+(AQ39*0.2)+(AR39*0.1)</f>
        <v>98.08998162634224</v>
      </c>
      <c r="AW39" s="107"/>
      <c r="AX39" s="108"/>
      <c r="AY39" s="108"/>
      <c r="AZ39" s="108"/>
      <c r="BA39" s="108"/>
      <c r="BB39" s="107"/>
      <c r="BC39" s="108"/>
      <c r="BD39" s="108"/>
      <c r="BE39" s="107"/>
      <c r="BF39" s="108"/>
      <c r="BG39" s="108"/>
      <c r="BH39" s="108"/>
      <c r="BI39" s="108"/>
      <c r="BJ39" s="108"/>
      <c r="BK39" s="107"/>
      <c r="BL39" s="108"/>
      <c r="BM39" s="108"/>
      <c r="BN39" s="108"/>
      <c r="BO39" s="107"/>
      <c r="BP39" s="108"/>
      <c r="BQ39" s="107"/>
      <c r="BR39" s="108"/>
      <c r="BS39" s="108"/>
      <c r="BT39" s="108"/>
      <c r="BU39" s="108"/>
      <c r="BV39" s="109"/>
      <c r="BW39" s="108"/>
      <c r="BX39" s="108"/>
    </row>
    <row r="40" spans="1:76" ht="15">
      <c r="A40" s="91">
        <v>2</v>
      </c>
      <c r="B40" s="91" t="s">
        <v>54</v>
      </c>
      <c r="C40" s="91" t="s">
        <v>41</v>
      </c>
      <c r="D40" s="98" t="s">
        <v>67</v>
      </c>
      <c r="E40" s="99" t="s">
        <v>69</v>
      </c>
      <c r="F40" s="91" t="s">
        <v>137</v>
      </c>
      <c r="G40" s="100">
        <v>41566</v>
      </c>
      <c r="I40" s="100">
        <v>41949</v>
      </c>
      <c r="J40" s="101">
        <v>42060</v>
      </c>
      <c r="K40" s="94" t="s">
        <v>116</v>
      </c>
      <c r="L40" s="95">
        <f>J40-G40</f>
        <v>494</v>
      </c>
      <c r="M40" s="95">
        <v>910</v>
      </c>
      <c r="N40" s="95">
        <v>942</v>
      </c>
      <c r="O40" s="95">
        <v>932</v>
      </c>
      <c r="P40" s="102">
        <f>AVERAGE(N40:O40)</f>
        <v>937</v>
      </c>
      <c r="Q40" s="103"/>
      <c r="S40" s="103"/>
      <c r="T40" s="104"/>
      <c r="U40" s="103"/>
      <c r="V40" s="119">
        <v>1305</v>
      </c>
      <c r="W40" s="102">
        <v>1325</v>
      </c>
      <c r="X40" s="103">
        <f>(V40+W40)/2</f>
        <v>1315</v>
      </c>
      <c r="Y40" s="104">
        <f>(X40/L40)</f>
        <v>2.661943319838057</v>
      </c>
      <c r="Z40" s="103">
        <f>(X40-P40)</f>
        <v>378</v>
      </c>
      <c r="AA40" s="105">
        <f>(Z40/112)</f>
        <v>3.375</v>
      </c>
      <c r="AB40" s="106">
        <v>52</v>
      </c>
      <c r="AC40" s="106">
        <f>-11.548+0.4878*(AB40)-0.0289*(L40)+0.00001947*(L40*L40)+0.0000334*(AB41*L40)</f>
        <v>5.188309200000001</v>
      </c>
      <c r="AD40" s="118">
        <v>14.61</v>
      </c>
      <c r="AE40" s="105">
        <f>AD40/X40*100</f>
        <v>1.1110266159695819</v>
      </c>
      <c r="AF40" s="118">
        <v>0.230027</v>
      </c>
      <c r="AG40" s="118">
        <v>4.34235</v>
      </c>
      <c r="AH40" s="106">
        <v>39</v>
      </c>
      <c r="AI40" s="103">
        <v>3</v>
      </c>
      <c r="AJ40" s="103">
        <v>6</v>
      </c>
      <c r="AK40" s="106">
        <v>17</v>
      </c>
      <c r="AL40" s="106">
        <v>13</v>
      </c>
      <c r="AM40" s="105">
        <f>(AK40*AL40)</f>
        <v>221</v>
      </c>
      <c r="AN40" s="105">
        <f>(AA40/2.74)*100</f>
        <v>123.1751824817518</v>
      </c>
      <c r="AO40" s="104">
        <f>(AE40/1.12)*100</f>
        <v>99.19880499728409</v>
      </c>
      <c r="AP40" s="105">
        <f>(Y40/2.6)*100</f>
        <v>102.3824353783868</v>
      </c>
      <c r="AQ40" s="104">
        <f>(AG40/3.75)*100</f>
        <v>115.79599999999999</v>
      </c>
      <c r="AR40" s="105">
        <f>(AH40/36.1)*100</f>
        <v>108.03324099722991</v>
      </c>
      <c r="AS40" s="105">
        <f>(AN40*0.3)+(AO40*0.2)+(AP40*0.2)+(AQ40*0.2)+(AR40*0.1)</f>
        <v>111.23132691938272</v>
      </c>
      <c r="AW40" s="107"/>
      <c r="AX40" s="108"/>
      <c r="AY40" s="108"/>
      <c r="AZ40" s="108"/>
      <c r="BA40" s="108"/>
      <c r="BB40" s="107"/>
      <c r="BC40" s="108"/>
      <c r="BD40" s="108"/>
      <c r="BF40" s="108"/>
      <c r="BG40" s="108"/>
      <c r="BH40" s="108"/>
      <c r="BI40" s="108"/>
      <c r="BJ40" s="108"/>
      <c r="BK40" s="107"/>
      <c r="BL40" s="108"/>
      <c r="BM40" s="108"/>
      <c r="BN40" s="108"/>
      <c r="BO40" s="107"/>
      <c r="BP40" s="108"/>
      <c r="BQ40" s="107"/>
      <c r="BR40" s="108"/>
      <c r="BS40" s="108"/>
      <c r="BT40" s="108"/>
      <c r="BU40" s="108"/>
      <c r="BV40" s="109"/>
      <c r="BW40" s="108"/>
      <c r="BX40" s="108"/>
    </row>
    <row r="41" spans="4:76" s="121" customFormat="1" ht="15.75">
      <c r="D41" s="120" t="s">
        <v>148</v>
      </c>
      <c r="E41" s="84"/>
      <c r="G41" s="122"/>
      <c r="H41" s="122"/>
      <c r="I41" s="122"/>
      <c r="J41" s="123"/>
      <c r="K41" s="124"/>
      <c r="L41" s="125">
        <f>AVERAGE(L36:L40)</f>
        <v>521.2</v>
      </c>
      <c r="M41" s="125">
        <f aca="true" t="shared" si="33" ref="M41:AS41">AVERAGE(M36:M40)</f>
        <v>982</v>
      </c>
      <c r="N41" s="125">
        <f t="shared" si="33"/>
        <v>1057</v>
      </c>
      <c r="O41" s="125">
        <f t="shared" si="33"/>
        <v>1038.6</v>
      </c>
      <c r="P41" s="125">
        <f t="shared" si="33"/>
        <v>1047.8</v>
      </c>
      <c r="Q41" s="125" t="e">
        <f t="shared" si="33"/>
        <v>#DIV/0!</v>
      </c>
      <c r="R41" s="125" t="e">
        <f t="shared" si="33"/>
        <v>#DIV/0!</v>
      </c>
      <c r="S41" s="125" t="e">
        <f t="shared" si="33"/>
        <v>#DIV/0!</v>
      </c>
      <c r="T41" s="125" t="e">
        <f t="shared" si="33"/>
        <v>#DIV/0!</v>
      </c>
      <c r="U41" s="125" t="e">
        <f t="shared" si="33"/>
        <v>#DIV/0!</v>
      </c>
      <c r="V41" s="125">
        <f t="shared" si="33"/>
        <v>1350</v>
      </c>
      <c r="W41" s="125">
        <f t="shared" si="33"/>
        <v>1360</v>
      </c>
      <c r="X41" s="125">
        <f t="shared" si="33"/>
        <v>1355</v>
      </c>
      <c r="Y41" s="127">
        <f t="shared" si="33"/>
        <v>2.601495140218472</v>
      </c>
      <c r="Z41" s="125">
        <f t="shared" si="33"/>
        <v>307.2</v>
      </c>
      <c r="AA41" s="127">
        <f t="shared" si="33"/>
        <v>2.742857142857143</v>
      </c>
      <c r="AB41" s="126">
        <f t="shared" si="33"/>
        <v>54.3</v>
      </c>
      <c r="AC41" s="126">
        <f t="shared" si="33"/>
        <v>6.145669384000001</v>
      </c>
      <c r="AD41" s="127">
        <f t="shared" si="33"/>
        <v>15.135919999999999</v>
      </c>
      <c r="AE41" s="127">
        <f t="shared" si="33"/>
        <v>1.1156279230402226</v>
      </c>
      <c r="AF41" s="127">
        <f t="shared" si="33"/>
        <v>0.2553866</v>
      </c>
      <c r="AG41" s="127">
        <f t="shared" si="33"/>
        <v>3.753938</v>
      </c>
      <c r="AH41" s="126">
        <f t="shared" si="33"/>
        <v>36.1</v>
      </c>
      <c r="AI41" s="125">
        <f t="shared" si="33"/>
        <v>2.8</v>
      </c>
      <c r="AJ41" s="125">
        <f t="shared" si="33"/>
        <v>6.6</v>
      </c>
      <c r="AK41" s="126">
        <f t="shared" si="33"/>
        <v>15.8</v>
      </c>
      <c r="AL41" s="126">
        <f t="shared" si="33"/>
        <v>12.2</v>
      </c>
      <c r="AM41" s="127">
        <f t="shared" si="33"/>
        <v>193.9</v>
      </c>
      <c r="AN41" s="127">
        <f t="shared" si="33"/>
        <v>100.10427528675703</v>
      </c>
      <c r="AO41" s="127">
        <f t="shared" si="33"/>
        <v>99.60963598573417</v>
      </c>
      <c r="AP41" s="127">
        <f t="shared" si="33"/>
        <v>100.05750539301815</v>
      </c>
      <c r="AQ41" s="127">
        <f t="shared" si="33"/>
        <v>100.10501333333333</v>
      </c>
      <c r="AR41" s="127">
        <f t="shared" si="33"/>
        <v>100</v>
      </c>
      <c r="AS41" s="127">
        <f t="shared" si="33"/>
        <v>99.98571352844424</v>
      </c>
      <c r="AW41" s="128"/>
      <c r="AX41" s="129"/>
      <c r="AY41" s="129"/>
      <c r="AZ41" s="129"/>
      <c r="BA41" s="129"/>
      <c r="BB41" s="128"/>
      <c r="BC41" s="129"/>
      <c r="BD41" s="129"/>
      <c r="BE41" s="125"/>
      <c r="BF41" s="129"/>
      <c r="BG41" s="129"/>
      <c r="BH41" s="129"/>
      <c r="BI41" s="129"/>
      <c r="BJ41" s="129"/>
      <c r="BK41" s="128"/>
      <c r="BL41" s="129"/>
      <c r="BM41" s="129"/>
      <c r="BN41" s="129"/>
      <c r="BO41" s="128"/>
      <c r="BP41" s="129"/>
      <c r="BQ41" s="128"/>
      <c r="BR41" s="129"/>
      <c r="BS41" s="129"/>
      <c r="BT41" s="129"/>
      <c r="BU41" s="129"/>
      <c r="BV41" s="130"/>
      <c r="BW41" s="129"/>
      <c r="BX41" s="129"/>
    </row>
    <row r="42" spans="4:76" s="121" customFormat="1" ht="15.75">
      <c r="D42" s="120" t="s">
        <v>147</v>
      </c>
      <c r="E42" s="131"/>
      <c r="G42" s="122"/>
      <c r="H42" s="122"/>
      <c r="I42" s="122"/>
      <c r="J42" s="123"/>
      <c r="K42" s="124"/>
      <c r="L42" s="125">
        <f>AVERAGE(L2:L40)</f>
        <v>402.10862470862475</v>
      </c>
      <c r="M42" s="125">
        <f aca="true" t="shared" si="34" ref="M42:AS42">AVERAGE(M2:M40)</f>
        <v>778.0451127819549</v>
      </c>
      <c r="N42" s="125">
        <f t="shared" si="34"/>
        <v>817.0902097902098</v>
      </c>
      <c r="O42" s="125">
        <f t="shared" si="34"/>
        <v>812.474358974359</v>
      </c>
      <c r="P42" s="125">
        <f t="shared" si="34"/>
        <v>814.7822843822844</v>
      </c>
      <c r="Q42" s="125" t="e">
        <f t="shared" si="34"/>
        <v>#DIV/0!</v>
      </c>
      <c r="R42" s="125" t="e">
        <f t="shared" si="34"/>
        <v>#DIV/0!</v>
      </c>
      <c r="S42" s="125" t="e">
        <f t="shared" si="34"/>
        <v>#DIV/0!</v>
      </c>
      <c r="T42" s="125" t="e">
        <f t="shared" si="34"/>
        <v>#DIV/0!</v>
      </c>
      <c r="U42" s="125" t="e">
        <f t="shared" si="34"/>
        <v>#DIV/0!</v>
      </c>
      <c r="V42" s="125">
        <f t="shared" si="34"/>
        <v>1136.5198135198136</v>
      </c>
      <c r="W42" s="125">
        <f t="shared" si="34"/>
        <v>1147.3414918414917</v>
      </c>
      <c r="X42" s="125">
        <f t="shared" si="34"/>
        <v>1141.9306526806527</v>
      </c>
      <c r="Y42" s="127">
        <f t="shared" si="34"/>
        <v>2.8595690997136773</v>
      </c>
      <c r="Z42" s="125">
        <f t="shared" si="34"/>
        <v>327.1483682983683</v>
      </c>
      <c r="AA42" s="127">
        <f t="shared" si="34"/>
        <v>2.9209675740925736</v>
      </c>
      <c r="AB42" s="126">
        <f t="shared" si="34"/>
        <v>51.90606060606061</v>
      </c>
      <c r="AC42" s="126">
        <f t="shared" si="34"/>
        <v>6.097556768149185</v>
      </c>
      <c r="AD42" s="127">
        <f t="shared" si="34"/>
        <v>12.94179435897436</v>
      </c>
      <c r="AE42" s="127">
        <f t="shared" si="34"/>
        <v>1.1363659386106615</v>
      </c>
      <c r="AF42" s="127">
        <f t="shared" si="34"/>
        <v>0.2074315983682984</v>
      </c>
      <c r="AG42" s="127">
        <f t="shared" si="34"/>
        <v>3.7101634452214456</v>
      </c>
      <c r="AH42" s="126">
        <f t="shared" si="34"/>
        <v>36.34265734265735</v>
      </c>
      <c r="AI42" s="125">
        <f t="shared" si="34"/>
        <v>2.6696969696969695</v>
      </c>
      <c r="AJ42" s="125">
        <f t="shared" si="34"/>
        <v>5.999300699300699</v>
      </c>
      <c r="AK42" s="126">
        <f t="shared" si="34"/>
        <v>15.256993006993007</v>
      </c>
      <c r="AL42" s="126">
        <f t="shared" si="34"/>
        <v>11.938111888111887</v>
      </c>
      <c r="AM42" s="127">
        <f t="shared" si="34"/>
        <v>182.48764568764568</v>
      </c>
      <c r="AN42" s="127">
        <f t="shared" si="34"/>
        <v>99.95090557571599</v>
      </c>
      <c r="AO42" s="127">
        <f t="shared" si="34"/>
        <v>100.15337516876411</v>
      </c>
      <c r="AP42" s="127">
        <f t="shared" si="34"/>
        <v>99.99516780468646</v>
      </c>
      <c r="AQ42" s="127">
        <f t="shared" si="34"/>
        <v>99.97447830475497</v>
      </c>
      <c r="AR42" s="127">
        <f t="shared" si="34"/>
        <v>99.93942027840333</v>
      </c>
      <c r="AS42" s="127">
        <f t="shared" si="34"/>
        <v>100.00381795619626</v>
      </c>
      <c r="AW42" s="128"/>
      <c r="AX42" s="129"/>
      <c r="AY42" s="129"/>
      <c r="AZ42" s="129"/>
      <c r="BA42" s="129"/>
      <c r="BB42" s="128"/>
      <c r="BC42" s="129"/>
      <c r="BD42" s="129"/>
      <c r="BE42" s="125"/>
      <c r="BF42" s="129"/>
      <c r="BG42" s="129"/>
      <c r="BH42" s="129"/>
      <c r="BI42" s="129"/>
      <c r="BJ42" s="129"/>
      <c r="BK42" s="128"/>
      <c r="BL42" s="129"/>
      <c r="BM42" s="129"/>
      <c r="BN42" s="129"/>
      <c r="BO42" s="128"/>
      <c r="BP42" s="129"/>
      <c r="BQ42" s="128"/>
      <c r="BR42" s="129"/>
      <c r="BS42" s="129"/>
      <c r="BT42" s="129"/>
      <c r="BU42" s="129"/>
      <c r="BV42" s="130"/>
      <c r="BW42" s="129"/>
      <c r="BX42" s="129"/>
    </row>
    <row r="43" spans="4:76" ht="15">
      <c r="D43" s="98"/>
      <c r="J43" s="101"/>
      <c r="M43" s="94"/>
      <c r="Q43" s="103"/>
      <c r="S43" s="103"/>
      <c r="T43" s="104"/>
      <c r="U43" s="103"/>
      <c r="V43" s="103"/>
      <c r="X43" s="103"/>
      <c r="Y43" s="104"/>
      <c r="Z43" s="103"/>
      <c r="AI43" s="103"/>
      <c r="AJ43" s="103"/>
      <c r="AO43" s="104"/>
      <c r="AQ43" s="104"/>
      <c r="AW43" s="107"/>
      <c r="AX43" s="108"/>
      <c r="AY43" s="108"/>
      <c r="AZ43" s="108"/>
      <c r="BA43" s="108"/>
      <c r="BB43" s="107"/>
      <c r="BC43" s="108"/>
      <c r="BD43" s="108"/>
      <c r="BF43" s="108"/>
      <c r="BG43" s="108"/>
      <c r="BH43" s="108"/>
      <c r="BI43" s="108"/>
      <c r="BJ43" s="108"/>
      <c r="BK43" s="107"/>
      <c r="BL43" s="108"/>
      <c r="BM43" s="108"/>
      <c r="BN43" s="108"/>
      <c r="BO43" s="107"/>
      <c r="BP43" s="108"/>
      <c r="BQ43" s="107"/>
      <c r="BR43" s="108"/>
      <c r="BS43" s="108"/>
      <c r="BT43" s="108"/>
      <c r="BU43" s="108"/>
      <c r="BV43" s="109"/>
      <c r="BW43" s="108"/>
      <c r="BX43" s="108"/>
    </row>
    <row r="44" spans="4:76" ht="15">
      <c r="D44" s="98"/>
      <c r="J44" s="101"/>
      <c r="M44" s="94"/>
      <c r="Q44" s="103"/>
      <c r="S44" s="103"/>
      <c r="T44" s="104"/>
      <c r="U44" s="103"/>
      <c r="V44" s="103"/>
      <c r="X44" s="103"/>
      <c r="Y44" s="104"/>
      <c r="Z44" s="103"/>
      <c r="AI44" s="103"/>
      <c r="AJ44" s="103"/>
      <c r="AO44" s="104"/>
      <c r="AQ44" s="104"/>
      <c r="AW44" s="107"/>
      <c r="AX44" s="108"/>
      <c r="AY44" s="108"/>
      <c r="AZ44" s="108"/>
      <c r="BA44" s="108"/>
      <c r="BB44" s="107"/>
      <c r="BC44" s="108"/>
      <c r="BD44" s="108"/>
      <c r="BE44" s="107"/>
      <c r="BF44" s="108"/>
      <c r="BG44" s="108"/>
      <c r="BH44" s="108"/>
      <c r="BI44" s="108"/>
      <c r="BJ44" s="108"/>
      <c r="BK44" s="107"/>
      <c r="BL44" s="108"/>
      <c r="BM44" s="108"/>
      <c r="BN44" s="108"/>
      <c r="BO44" s="107"/>
      <c r="BP44" s="108"/>
      <c r="BQ44" s="107"/>
      <c r="BR44" s="108"/>
      <c r="BS44" s="108"/>
      <c r="BT44" s="108"/>
      <c r="BU44" s="108"/>
      <c r="BV44" s="109"/>
      <c r="BW44" s="108"/>
      <c r="BX44" s="108"/>
    </row>
    <row r="45" spans="4:76" ht="15">
      <c r="D45" s="98"/>
      <c r="J45" s="101"/>
      <c r="M45" s="94"/>
      <c r="Q45" s="103"/>
      <c r="S45" s="103"/>
      <c r="T45" s="104"/>
      <c r="U45" s="103"/>
      <c r="V45" s="103"/>
      <c r="X45" s="103"/>
      <c r="Y45" s="104"/>
      <c r="Z45" s="103"/>
      <c r="AI45" s="103"/>
      <c r="AJ45" s="103"/>
      <c r="AO45" s="104"/>
      <c r="AQ45" s="104"/>
      <c r="AW45" s="107"/>
      <c r="AX45" s="108"/>
      <c r="AY45" s="108"/>
      <c r="AZ45" s="108"/>
      <c r="BA45" s="108"/>
      <c r="BB45" s="107"/>
      <c r="BC45" s="108"/>
      <c r="BD45" s="108"/>
      <c r="BE45" s="107"/>
      <c r="BF45" s="108"/>
      <c r="BG45" s="108"/>
      <c r="BH45" s="108"/>
      <c r="BI45" s="108"/>
      <c r="BJ45" s="108"/>
      <c r="BK45" s="107"/>
      <c r="BL45" s="108"/>
      <c r="BM45" s="108"/>
      <c r="BN45" s="108"/>
      <c r="BO45" s="107"/>
      <c r="BP45" s="108"/>
      <c r="BQ45" s="107"/>
      <c r="BR45" s="108"/>
      <c r="BS45" s="108"/>
      <c r="BT45" s="108"/>
      <c r="BU45" s="108"/>
      <c r="BV45" s="109"/>
      <c r="BW45" s="108"/>
      <c r="BX45" s="108"/>
    </row>
    <row r="46" spans="4:76" ht="15">
      <c r="D46" s="98"/>
      <c r="J46" s="101"/>
      <c r="M46" s="94"/>
      <c r="Q46" s="103"/>
      <c r="S46" s="103"/>
      <c r="T46" s="104"/>
      <c r="U46" s="103"/>
      <c r="V46" s="103"/>
      <c r="X46" s="103"/>
      <c r="Y46" s="104"/>
      <c r="Z46" s="103"/>
      <c r="AI46" s="103"/>
      <c r="AJ46" s="103"/>
      <c r="AO46" s="104"/>
      <c r="AQ46" s="104"/>
      <c r="AW46" s="107"/>
      <c r="AX46" s="108"/>
      <c r="AY46" s="108"/>
      <c r="AZ46" s="108"/>
      <c r="BA46" s="108"/>
      <c r="BB46" s="107"/>
      <c r="BC46" s="108"/>
      <c r="BD46" s="108"/>
      <c r="BE46" s="107"/>
      <c r="BF46" s="108"/>
      <c r="BG46" s="108"/>
      <c r="BH46" s="108"/>
      <c r="BI46" s="108"/>
      <c r="BJ46" s="108"/>
      <c r="BK46" s="107"/>
      <c r="BL46" s="108"/>
      <c r="BM46" s="108"/>
      <c r="BN46" s="108"/>
      <c r="BO46" s="107"/>
      <c r="BP46" s="108"/>
      <c r="BQ46" s="107"/>
      <c r="BR46" s="108"/>
      <c r="BS46" s="108"/>
      <c r="BT46" s="108"/>
      <c r="BU46" s="108"/>
      <c r="BV46" s="109"/>
      <c r="BW46" s="108"/>
      <c r="BX46" s="108"/>
    </row>
    <row r="47" spans="4:76" ht="15">
      <c r="D47" s="98"/>
      <c r="J47" s="101"/>
      <c r="M47" s="94"/>
      <c r="Q47" s="103"/>
      <c r="S47" s="103"/>
      <c r="T47" s="104"/>
      <c r="U47" s="103"/>
      <c r="V47" s="103"/>
      <c r="X47" s="103"/>
      <c r="Y47" s="104"/>
      <c r="Z47" s="103"/>
      <c r="AH47" s="112"/>
      <c r="AI47" s="103"/>
      <c r="AJ47" s="103"/>
      <c r="AK47" s="112"/>
      <c r="AL47" s="112"/>
      <c r="AO47" s="104"/>
      <c r="AQ47" s="104"/>
      <c r="AW47" s="107"/>
      <c r="AX47" s="108"/>
      <c r="AY47" s="108"/>
      <c r="AZ47" s="108"/>
      <c r="BA47" s="108"/>
      <c r="BB47" s="107"/>
      <c r="BC47" s="108"/>
      <c r="BD47" s="108"/>
      <c r="BF47" s="108"/>
      <c r="BG47" s="108"/>
      <c r="BH47" s="108"/>
      <c r="BI47" s="108"/>
      <c r="BJ47" s="108"/>
      <c r="BK47" s="107"/>
      <c r="BL47" s="108"/>
      <c r="BM47" s="108"/>
      <c r="BN47" s="108"/>
      <c r="BO47" s="107"/>
      <c r="BP47" s="108"/>
      <c r="BQ47" s="107"/>
      <c r="BR47" s="108"/>
      <c r="BS47" s="108"/>
      <c r="BT47" s="108"/>
      <c r="BU47" s="108"/>
      <c r="BV47" s="109"/>
      <c r="BW47" s="108"/>
      <c r="BX47" s="108"/>
    </row>
    <row r="48" spans="4:76" ht="15">
      <c r="D48" s="98"/>
      <c r="J48" s="101"/>
      <c r="M48" s="94"/>
      <c r="Q48" s="103"/>
      <c r="S48" s="103"/>
      <c r="T48" s="104"/>
      <c r="U48" s="103"/>
      <c r="W48" s="103"/>
      <c r="X48" s="103"/>
      <c r="Y48" s="104"/>
      <c r="Z48" s="103"/>
      <c r="AB48" s="112"/>
      <c r="AI48" s="103"/>
      <c r="AJ48" s="103"/>
      <c r="AO48" s="104"/>
      <c r="AQ48" s="104"/>
      <c r="AW48" s="107"/>
      <c r="AX48" s="108"/>
      <c r="AY48" s="108"/>
      <c r="AZ48" s="108"/>
      <c r="BA48" s="108"/>
      <c r="BB48" s="107"/>
      <c r="BC48" s="108"/>
      <c r="BD48" s="108"/>
      <c r="BE48" s="107"/>
      <c r="BF48" s="108"/>
      <c r="BG48" s="108"/>
      <c r="BH48" s="108"/>
      <c r="BI48" s="108"/>
      <c r="BJ48" s="108"/>
      <c r="BK48" s="107"/>
      <c r="BL48" s="108"/>
      <c r="BM48" s="108"/>
      <c r="BN48" s="108"/>
      <c r="BO48" s="107"/>
      <c r="BP48" s="108"/>
      <c r="BQ48" s="107"/>
      <c r="BR48" s="108"/>
      <c r="BS48" s="108"/>
      <c r="BT48" s="108"/>
      <c r="BU48" s="108"/>
      <c r="BV48" s="109"/>
      <c r="BW48" s="108"/>
      <c r="BX48" s="108"/>
    </row>
    <row r="49" spans="4:76" ht="15">
      <c r="D49" s="98"/>
      <c r="E49" s="115"/>
      <c r="J49" s="101"/>
      <c r="M49" s="94"/>
      <c r="Q49" s="103"/>
      <c r="S49" s="103"/>
      <c r="T49" s="104"/>
      <c r="U49" s="103"/>
      <c r="X49" s="103"/>
      <c r="Y49" s="104"/>
      <c r="Z49" s="103"/>
      <c r="AI49" s="103"/>
      <c r="AJ49" s="103"/>
      <c r="AO49" s="104"/>
      <c r="AQ49" s="104"/>
      <c r="AW49" s="107"/>
      <c r="AX49" s="108"/>
      <c r="AY49" s="108"/>
      <c r="AZ49" s="108"/>
      <c r="BA49" s="108"/>
      <c r="BB49" s="107"/>
      <c r="BC49" s="108"/>
      <c r="BD49" s="108"/>
      <c r="BE49" s="107"/>
      <c r="BF49" s="108"/>
      <c r="BG49" s="108"/>
      <c r="BH49" s="108"/>
      <c r="BI49" s="108"/>
      <c r="BJ49" s="108"/>
      <c r="BK49" s="107"/>
      <c r="BL49" s="108"/>
      <c r="BM49" s="108"/>
      <c r="BN49" s="108"/>
      <c r="BO49" s="107"/>
      <c r="BP49" s="108"/>
      <c r="BQ49" s="107"/>
      <c r="BR49" s="108"/>
      <c r="BS49" s="108"/>
      <c r="BT49" s="108"/>
      <c r="BU49" s="108"/>
      <c r="BV49" s="109"/>
      <c r="BW49" s="108"/>
      <c r="BX49" s="108"/>
    </row>
    <row r="50" spans="4:76" ht="15">
      <c r="D50" s="98"/>
      <c r="J50" s="101"/>
      <c r="M50" s="94"/>
      <c r="Q50" s="103"/>
      <c r="S50" s="103"/>
      <c r="T50" s="104"/>
      <c r="U50" s="103"/>
      <c r="V50" s="103"/>
      <c r="X50" s="103"/>
      <c r="Y50" s="104"/>
      <c r="Z50" s="103"/>
      <c r="AI50" s="103"/>
      <c r="AJ50" s="103"/>
      <c r="AO50" s="104"/>
      <c r="AQ50" s="104"/>
      <c r="AW50" s="107"/>
      <c r="AX50" s="108"/>
      <c r="AY50" s="108"/>
      <c r="AZ50" s="108"/>
      <c r="BA50" s="108"/>
      <c r="BB50" s="107"/>
      <c r="BC50" s="108"/>
      <c r="BD50" s="108"/>
      <c r="BF50" s="108"/>
      <c r="BG50" s="108"/>
      <c r="BH50" s="108"/>
      <c r="BI50" s="108"/>
      <c r="BJ50" s="108"/>
      <c r="BK50" s="107"/>
      <c r="BL50" s="108"/>
      <c r="BM50" s="108"/>
      <c r="BN50" s="108"/>
      <c r="BO50" s="107"/>
      <c r="BP50" s="108"/>
      <c r="BQ50" s="107"/>
      <c r="BR50" s="108"/>
      <c r="BS50" s="108"/>
      <c r="BT50" s="108"/>
      <c r="BU50" s="108"/>
      <c r="BV50" s="109"/>
      <c r="BW50" s="108"/>
      <c r="BX50" s="108"/>
    </row>
    <row r="51" spans="1:76" s="98" customFormat="1" ht="15">
      <c r="A51" s="91"/>
      <c r="B51" s="91"/>
      <c r="C51" s="91"/>
      <c r="E51" s="110"/>
      <c r="F51" s="91"/>
      <c r="G51" s="100"/>
      <c r="H51" s="100"/>
      <c r="I51" s="100"/>
      <c r="J51" s="101"/>
      <c r="K51" s="94"/>
      <c r="L51" s="95"/>
      <c r="M51" s="94"/>
      <c r="N51" s="95"/>
      <c r="O51" s="95"/>
      <c r="P51" s="102"/>
      <c r="Q51" s="103"/>
      <c r="R51" s="102"/>
      <c r="S51" s="103"/>
      <c r="T51" s="104"/>
      <c r="U51" s="103"/>
      <c r="V51" s="103"/>
      <c r="W51" s="102"/>
      <c r="X51" s="103"/>
      <c r="Y51" s="104"/>
      <c r="Z51" s="103"/>
      <c r="AA51" s="105"/>
      <c r="AB51" s="106"/>
      <c r="AC51" s="106"/>
      <c r="AD51" s="105"/>
      <c r="AE51" s="105"/>
      <c r="AF51" s="105"/>
      <c r="AG51" s="105"/>
      <c r="AH51" s="106"/>
      <c r="AI51" s="103"/>
      <c r="AJ51" s="103"/>
      <c r="AK51" s="106"/>
      <c r="AL51" s="106"/>
      <c r="AM51" s="105"/>
      <c r="AN51" s="105"/>
      <c r="AO51" s="104"/>
      <c r="AP51" s="105"/>
      <c r="AQ51" s="104"/>
      <c r="AR51" s="105"/>
      <c r="AS51" s="105"/>
      <c r="AT51" s="91"/>
      <c r="AU51" s="91"/>
      <c r="AV51" s="91"/>
      <c r="AW51" s="107"/>
      <c r="AX51" s="108"/>
      <c r="AY51" s="108"/>
      <c r="AZ51" s="108"/>
      <c r="BA51" s="108"/>
      <c r="BB51" s="107"/>
      <c r="BC51" s="108"/>
      <c r="BD51" s="108"/>
      <c r="BE51" s="95"/>
      <c r="BF51" s="108"/>
      <c r="BG51" s="108"/>
      <c r="BH51" s="108"/>
      <c r="BI51" s="108"/>
      <c r="BJ51" s="108"/>
      <c r="BK51" s="107"/>
      <c r="BL51" s="108"/>
      <c r="BM51" s="108"/>
      <c r="BN51" s="108"/>
      <c r="BO51" s="107"/>
      <c r="BP51" s="108"/>
      <c r="BQ51" s="107"/>
      <c r="BR51" s="108"/>
      <c r="BS51" s="108"/>
      <c r="BT51" s="108"/>
      <c r="BU51" s="108"/>
      <c r="BV51" s="109"/>
      <c r="BW51" s="108"/>
      <c r="BX51" s="108"/>
    </row>
    <row r="52" spans="4:76" ht="15">
      <c r="D52" s="98"/>
      <c r="J52" s="101"/>
      <c r="M52" s="94"/>
      <c r="Q52" s="103"/>
      <c r="S52" s="103"/>
      <c r="T52" s="104"/>
      <c r="U52" s="103"/>
      <c r="X52" s="103"/>
      <c r="Y52" s="104"/>
      <c r="Z52" s="103"/>
      <c r="AH52" s="112"/>
      <c r="AI52" s="103"/>
      <c r="AJ52" s="103"/>
      <c r="AK52" s="112"/>
      <c r="AL52" s="112"/>
      <c r="AO52" s="104"/>
      <c r="AQ52" s="104"/>
      <c r="AW52" s="107"/>
      <c r="AX52" s="108"/>
      <c r="AY52" s="108"/>
      <c r="AZ52" s="108"/>
      <c r="BA52" s="108"/>
      <c r="BB52" s="107"/>
      <c r="BC52" s="108"/>
      <c r="BD52" s="108"/>
      <c r="BE52" s="107"/>
      <c r="BF52" s="108"/>
      <c r="BG52" s="108"/>
      <c r="BH52" s="108"/>
      <c r="BI52" s="108"/>
      <c r="BJ52" s="108"/>
      <c r="BK52" s="107"/>
      <c r="BL52" s="108"/>
      <c r="BM52" s="108"/>
      <c r="BN52" s="108"/>
      <c r="BO52" s="107"/>
      <c r="BP52" s="108"/>
      <c r="BQ52" s="107"/>
      <c r="BR52" s="108"/>
      <c r="BS52" s="108"/>
      <c r="BT52" s="108"/>
      <c r="BU52" s="108"/>
      <c r="BV52" s="109"/>
      <c r="BW52" s="108"/>
      <c r="BX52" s="108"/>
    </row>
    <row r="53" spans="4:76" ht="15">
      <c r="D53" s="98"/>
      <c r="G53" s="114"/>
      <c r="J53" s="101"/>
      <c r="M53" s="116"/>
      <c r="Q53" s="103"/>
      <c r="S53" s="103"/>
      <c r="T53" s="104"/>
      <c r="U53" s="103"/>
      <c r="W53" s="103"/>
      <c r="X53" s="103"/>
      <c r="Y53" s="104"/>
      <c r="Z53" s="103"/>
      <c r="AB53" s="112"/>
      <c r="AI53" s="103"/>
      <c r="AJ53" s="103"/>
      <c r="AO53" s="104"/>
      <c r="AQ53" s="104"/>
      <c r="AW53" s="107"/>
      <c r="AX53" s="108"/>
      <c r="AY53" s="108"/>
      <c r="AZ53" s="108"/>
      <c r="BA53" s="108"/>
      <c r="BB53" s="107"/>
      <c r="BC53" s="108"/>
      <c r="BD53" s="108"/>
      <c r="BF53" s="108"/>
      <c r="BG53" s="108"/>
      <c r="BH53" s="108"/>
      <c r="BI53" s="108"/>
      <c r="BJ53" s="108"/>
      <c r="BK53" s="107"/>
      <c r="BL53" s="108"/>
      <c r="BM53" s="108"/>
      <c r="BN53" s="108"/>
      <c r="BO53" s="107"/>
      <c r="BP53" s="108"/>
      <c r="BQ53" s="107"/>
      <c r="BR53" s="108"/>
      <c r="BS53" s="108"/>
      <c r="BT53" s="108"/>
      <c r="BU53" s="108"/>
      <c r="BV53" s="109"/>
      <c r="BW53" s="108"/>
      <c r="BX53" s="108"/>
    </row>
    <row r="54" spans="4:76" ht="15">
      <c r="D54" s="98"/>
      <c r="J54" s="101"/>
      <c r="M54" s="94"/>
      <c r="Q54" s="103"/>
      <c r="X54" s="103"/>
      <c r="Y54" s="104"/>
      <c r="Z54" s="103"/>
      <c r="AO54" s="104"/>
      <c r="AQ54" s="104"/>
      <c r="AW54" s="107"/>
      <c r="AX54" s="108"/>
      <c r="AY54" s="108"/>
      <c r="AZ54" s="108"/>
      <c r="BA54" s="108"/>
      <c r="BB54" s="107"/>
      <c r="BC54" s="108"/>
      <c r="BD54" s="108"/>
      <c r="BF54" s="108"/>
      <c r="BG54" s="108"/>
      <c r="BH54" s="108"/>
      <c r="BI54" s="108"/>
      <c r="BJ54" s="108"/>
      <c r="BK54" s="107"/>
      <c r="BL54" s="108"/>
      <c r="BM54" s="108"/>
      <c r="BN54" s="108"/>
      <c r="BO54" s="107"/>
      <c r="BP54" s="108"/>
      <c r="BQ54" s="107"/>
      <c r="BR54" s="108"/>
      <c r="BS54" s="108"/>
      <c r="BT54" s="108"/>
      <c r="BU54" s="108"/>
      <c r="BV54" s="109"/>
      <c r="BW54" s="108"/>
      <c r="BX54" s="108"/>
    </row>
    <row r="55" spans="4:76" ht="15">
      <c r="D55" s="98"/>
      <c r="J55" s="101"/>
      <c r="M55" s="94"/>
      <c r="Q55" s="103"/>
      <c r="R55" s="103"/>
      <c r="X55" s="103"/>
      <c r="Y55" s="104"/>
      <c r="Z55" s="103"/>
      <c r="AO55" s="104"/>
      <c r="AQ55" s="104"/>
      <c r="AW55" s="107"/>
      <c r="AX55" s="108"/>
      <c r="AY55" s="108"/>
      <c r="AZ55" s="108"/>
      <c r="BA55" s="108"/>
      <c r="BB55" s="107"/>
      <c r="BC55" s="108"/>
      <c r="BD55" s="108"/>
      <c r="BE55" s="107"/>
      <c r="BF55" s="108"/>
      <c r="BG55" s="108"/>
      <c r="BH55" s="108"/>
      <c r="BI55" s="108"/>
      <c r="BJ55" s="108"/>
      <c r="BK55" s="107"/>
      <c r="BL55" s="108"/>
      <c r="BM55" s="108"/>
      <c r="BN55" s="108"/>
      <c r="BO55" s="107"/>
      <c r="BP55" s="108"/>
      <c r="BQ55" s="107"/>
      <c r="BR55" s="108"/>
      <c r="BS55" s="108"/>
      <c r="BT55" s="108"/>
      <c r="BU55" s="108"/>
      <c r="BV55" s="109"/>
      <c r="BW55" s="108"/>
      <c r="BX55" s="108"/>
    </row>
    <row r="56" spans="10:76" ht="15">
      <c r="J56" s="101"/>
      <c r="M56" s="94"/>
      <c r="Q56" s="103"/>
      <c r="X56" s="103"/>
      <c r="Y56" s="104"/>
      <c r="Z56" s="103"/>
      <c r="AO56" s="104"/>
      <c r="AQ56" s="104"/>
      <c r="AW56" s="107"/>
      <c r="AX56" s="108"/>
      <c r="AY56" s="108"/>
      <c r="AZ56" s="108"/>
      <c r="BA56" s="108"/>
      <c r="BB56" s="107"/>
      <c r="BC56" s="108"/>
      <c r="BD56" s="108"/>
      <c r="BF56" s="108"/>
      <c r="BG56" s="108"/>
      <c r="BH56" s="108"/>
      <c r="BI56" s="108"/>
      <c r="BJ56" s="108"/>
      <c r="BK56" s="107"/>
      <c r="BL56" s="108"/>
      <c r="BM56" s="108"/>
      <c r="BN56" s="108"/>
      <c r="BO56" s="107"/>
      <c r="BP56" s="108"/>
      <c r="BQ56" s="107"/>
      <c r="BR56" s="108"/>
      <c r="BS56" s="108"/>
      <c r="BT56" s="108"/>
      <c r="BU56" s="108"/>
      <c r="BV56" s="109"/>
      <c r="BW56" s="108"/>
      <c r="BX56" s="108"/>
    </row>
    <row r="57" spans="4:76" ht="15">
      <c r="D57" s="98"/>
      <c r="J57" s="101"/>
      <c r="M57" s="94"/>
      <c r="Q57" s="103"/>
      <c r="X57" s="103"/>
      <c r="Y57" s="104"/>
      <c r="Z57" s="103"/>
      <c r="AO57" s="104"/>
      <c r="AQ57" s="104"/>
      <c r="AW57" s="107"/>
      <c r="AX57" s="108"/>
      <c r="AY57" s="108"/>
      <c r="AZ57" s="108"/>
      <c r="BA57" s="108"/>
      <c r="BB57" s="107"/>
      <c r="BC57" s="108"/>
      <c r="BD57" s="108"/>
      <c r="BF57" s="108"/>
      <c r="BG57" s="108"/>
      <c r="BH57" s="108"/>
      <c r="BI57" s="108"/>
      <c r="BJ57" s="108"/>
      <c r="BK57" s="107"/>
      <c r="BL57" s="108"/>
      <c r="BM57" s="108"/>
      <c r="BN57" s="108"/>
      <c r="BO57" s="107"/>
      <c r="BP57" s="108"/>
      <c r="BQ57" s="107"/>
      <c r="BR57" s="108"/>
      <c r="BS57" s="108"/>
      <c r="BT57" s="108"/>
      <c r="BU57" s="108"/>
      <c r="BV57" s="109"/>
      <c r="BW57" s="108"/>
      <c r="BX57" s="108"/>
    </row>
    <row r="58" spans="4:76" ht="15">
      <c r="D58" s="98"/>
      <c r="J58" s="101"/>
      <c r="M58" s="94"/>
      <c r="Q58" s="103"/>
      <c r="X58" s="103"/>
      <c r="Y58" s="104"/>
      <c r="Z58" s="103"/>
      <c r="AO58" s="104"/>
      <c r="AQ58" s="104"/>
      <c r="AW58" s="107"/>
      <c r="AX58" s="108"/>
      <c r="AY58" s="108"/>
      <c r="AZ58" s="108"/>
      <c r="BA58" s="108"/>
      <c r="BB58" s="107"/>
      <c r="BC58" s="108"/>
      <c r="BD58" s="108"/>
      <c r="BE58" s="107"/>
      <c r="BF58" s="108"/>
      <c r="BG58" s="108"/>
      <c r="BH58" s="108"/>
      <c r="BI58" s="108"/>
      <c r="BJ58" s="108"/>
      <c r="BK58" s="107"/>
      <c r="BL58" s="108"/>
      <c r="BM58" s="108"/>
      <c r="BN58" s="108"/>
      <c r="BO58" s="107"/>
      <c r="BP58" s="108"/>
      <c r="BQ58" s="107"/>
      <c r="BR58" s="108"/>
      <c r="BS58" s="108"/>
      <c r="BT58" s="108"/>
      <c r="BU58" s="108"/>
      <c r="BV58" s="109"/>
      <c r="BW58" s="108"/>
      <c r="BX58" s="108"/>
    </row>
    <row r="59" ht="15">
      <c r="D59" s="98"/>
    </row>
  </sheetData>
  <sheetProtection/>
  <printOptions gridLines="1"/>
  <pageMargins left="0.5" right="0.5" top="1" bottom="1" header="0.5" footer="0.5"/>
  <pageSetup blackAndWhite="1" horizontalDpi="300" verticalDpi="300" orientation="landscape" scale="85" r:id="rId1"/>
  <headerFooter alignWithMargins="0">
    <oddHeader>&amp;C 2014-15 Rio Grande Valley
Beef Improvement Association Bull Gain Test End of Test Report 3/10/15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8"/>
  <sheetViews>
    <sheetView workbookViewId="0" topLeftCell="A1">
      <selection activeCell="P6" sqref="P6"/>
    </sheetView>
  </sheetViews>
  <sheetFormatPr defaultColWidth="9.140625" defaultRowHeight="12.75" outlineLevelRow="2"/>
  <cols>
    <col min="1" max="1" width="9.140625" style="91" customWidth="1"/>
    <col min="2" max="2" width="8.7109375" style="91" customWidth="1"/>
    <col min="3" max="3" width="22.421875" style="91" customWidth="1"/>
    <col min="4" max="4" width="9.140625" style="92" customWidth="1"/>
    <col min="5" max="5" width="20.140625" style="91" customWidth="1"/>
    <col min="6" max="6" width="12.8515625" style="91" customWidth="1"/>
    <col min="7" max="7" width="10.8515625" style="91" customWidth="1"/>
    <col min="8" max="8" width="9.421875" style="91" customWidth="1"/>
    <col min="9" max="9" width="5.140625" style="94" customWidth="1"/>
    <col min="10" max="10" width="5.421875" style="91" customWidth="1"/>
    <col min="11" max="11" width="9.57421875" style="95" customWidth="1"/>
    <col min="12" max="12" width="7.57421875" style="95" customWidth="1"/>
    <col min="13" max="13" width="8.140625" style="95" customWidth="1"/>
    <col min="14" max="14" width="7.421875" style="96" customWidth="1"/>
    <col min="15" max="15" width="5.28125" style="95" customWidth="1"/>
    <col min="16" max="16" width="8.140625" style="95" customWidth="1"/>
    <col min="17" max="17" width="11.57421875" style="96" customWidth="1"/>
    <col min="18" max="18" width="8.00390625" style="95" customWidth="1"/>
    <col min="19" max="19" width="6.421875" style="96" customWidth="1"/>
    <col min="20" max="20" width="8.28125" style="96" customWidth="1"/>
    <col min="21" max="21" width="9.28125" style="96" customWidth="1"/>
    <col min="22" max="22" width="7.57421875" style="96" customWidth="1"/>
    <col min="23" max="23" width="12.140625" style="96" customWidth="1"/>
    <col min="24" max="24" width="7.421875" style="96" customWidth="1"/>
    <col min="25" max="25" width="6.57421875" style="96" customWidth="1"/>
    <col min="26" max="26" width="5.7109375" style="95" customWidth="1"/>
    <col min="27" max="27" width="6.57421875" style="95" customWidth="1"/>
    <col min="28" max="28" width="7.7109375" style="95" customWidth="1"/>
    <col min="29" max="29" width="8.8515625" style="97" customWidth="1"/>
    <col min="30" max="30" width="8.140625" style="97" customWidth="1"/>
    <col min="31" max="31" width="8.00390625" style="96" customWidth="1"/>
    <col min="32" max="32" width="10.57421875" style="91" bestFit="1" customWidth="1"/>
    <col min="33" max="16384" width="9.140625" style="91" customWidth="1"/>
  </cols>
  <sheetData>
    <row r="1" spans="1:49" s="90" customFormat="1" ht="32.25" customHeight="1">
      <c r="A1" s="83" t="s">
        <v>35</v>
      </c>
      <c r="B1" s="83" t="s">
        <v>20</v>
      </c>
      <c r="C1" s="83" t="s">
        <v>1</v>
      </c>
      <c r="D1" s="84" t="s">
        <v>2</v>
      </c>
      <c r="E1" s="83" t="s">
        <v>3</v>
      </c>
      <c r="F1" s="85" t="s">
        <v>4</v>
      </c>
      <c r="G1" s="85" t="s">
        <v>49</v>
      </c>
      <c r="H1" s="85" t="s">
        <v>50</v>
      </c>
      <c r="I1" s="84" t="s">
        <v>5</v>
      </c>
      <c r="J1" s="86" t="s">
        <v>6</v>
      </c>
      <c r="K1" s="86" t="s">
        <v>36</v>
      </c>
      <c r="L1" s="86" t="s">
        <v>9</v>
      </c>
      <c r="M1" s="86" t="s">
        <v>11</v>
      </c>
      <c r="N1" s="87" t="s">
        <v>21</v>
      </c>
      <c r="O1" s="86" t="s">
        <v>52</v>
      </c>
      <c r="P1" s="86" t="s">
        <v>12</v>
      </c>
      <c r="Q1" s="87" t="s">
        <v>10</v>
      </c>
      <c r="R1" s="86" t="s">
        <v>14</v>
      </c>
      <c r="S1" s="87" t="s">
        <v>15</v>
      </c>
      <c r="T1" s="87" t="s">
        <v>13</v>
      </c>
      <c r="U1" s="87" t="s">
        <v>25</v>
      </c>
      <c r="V1" s="87" t="s">
        <v>66</v>
      </c>
      <c r="W1" s="87" t="s">
        <v>19</v>
      </c>
      <c r="X1" s="87" t="s">
        <v>18</v>
      </c>
      <c r="Y1" s="87" t="s">
        <v>17</v>
      </c>
      <c r="Z1" s="86" t="s">
        <v>47</v>
      </c>
      <c r="AA1" s="86" t="s">
        <v>48</v>
      </c>
      <c r="AB1" s="86" t="s">
        <v>53</v>
      </c>
      <c r="AC1" s="88" t="s">
        <v>22</v>
      </c>
      <c r="AD1" s="88" t="s">
        <v>23</v>
      </c>
      <c r="AE1" s="87" t="s">
        <v>24</v>
      </c>
      <c r="AF1" s="83"/>
      <c r="AG1" s="83"/>
      <c r="AH1" s="89"/>
      <c r="AI1" s="86"/>
      <c r="AJ1" s="89"/>
      <c r="AK1" s="83"/>
      <c r="AL1" s="89"/>
      <c r="AM1" s="86"/>
      <c r="AN1" s="83"/>
      <c r="AO1" s="83"/>
      <c r="AP1" s="89"/>
      <c r="AQ1" s="83"/>
      <c r="AR1" s="83"/>
      <c r="AS1" s="83"/>
      <c r="AT1" s="88"/>
      <c r="AU1" s="89"/>
      <c r="AV1" s="89"/>
      <c r="AW1" s="83"/>
    </row>
    <row r="2" spans="1:31" ht="15">
      <c r="A2" s="91">
        <v>1</v>
      </c>
      <c r="B2" s="91" t="s">
        <v>111</v>
      </c>
      <c r="C2" s="91" t="s">
        <v>104</v>
      </c>
      <c r="E2" s="91" t="s">
        <v>133</v>
      </c>
      <c r="F2" s="93"/>
      <c r="G2" s="93"/>
      <c r="H2" s="93">
        <v>42059</v>
      </c>
      <c r="I2" s="94" t="s">
        <v>112</v>
      </c>
      <c r="J2" s="91">
        <f aca="true" t="shared" si="0" ref="J2:J11">(H2-F2)</f>
        <v>42059</v>
      </c>
      <c r="K2" s="95">
        <v>620</v>
      </c>
      <c r="P2" s="95">
        <v>1015</v>
      </c>
      <c r="Q2" s="96">
        <f aca="true" t="shared" si="1" ref="Q2:Q11">(P2/J2)</f>
        <v>0.024132765876506812</v>
      </c>
      <c r="R2" s="95">
        <f aca="true" t="shared" si="2" ref="R2:R11">(P2-K2)</f>
        <v>395</v>
      </c>
      <c r="S2" s="96">
        <f aca="true" t="shared" si="3" ref="S2:S11">(R2/(H2-G2))</f>
        <v>0.009391568986423833</v>
      </c>
      <c r="U2" s="96">
        <f aca="true" t="shared" si="4" ref="U2:U11">(-11.7086+(0.4723*T2)-(0.0239*J2)+(0.0000146*(J2*J2)+(0.0000759*T2*J2)))</f>
        <v>24809.889722600004</v>
      </c>
      <c r="Z2" s="95">
        <v>4</v>
      </c>
      <c r="AA2" s="95">
        <v>6</v>
      </c>
      <c r="AB2" s="95">
        <v>1</v>
      </c>
      <c r="AC2" s="97">
        <v>17</v>
      </c>
      <c r="AD2" s="97">
        <v>15.5</v>
      </c>
      <c r="AE2" s="96">
        <f aca="true" t="shared" si="5" ref="AE2:AE11">(AC2*AD2)</f>
        <v>263.5</v>
      </c>
    </row>
    <row r="3" spans="1:31" ht="15">
      <c r="A3" s="91">
        <v>2</v>
      </c>
      <c r="B3" s="91" t="s">
        <v>111</v>
      </c>
      <c r="C3" s="91" t="s">
        <v>104</v>
      </c>
      <c r="E3" s="91" t="s">
        <v>133</v>
      </c>
      <c r="F3" s="93"/>
      <c r="G3" s="93"/>
      <c r="H3" s="93">
        <v>42059</v>
      </c>
      <c r="I3" s="94" t="s">
        <v>112</v>
      </c>
      <c r="J3" s="91">
        <f t="shared" si="0"/>
        <v>42059</v>
      </c>
      <c r="K3" s="95">
        <v>828</v>
      </c>
      <c r="P3" s="95">
        <v>1070</v>
      </c>
      <c r="Q3" s="96">
        <f t="shared" si="1"/>
        <v>0.02544045269740127</v>
      </c>
      <c r="R3" s="95">
        <f t="shared" si="2"/>
        <v>242</v>
      </c>
      <c r="S3" s="96">
        <f t="shared" si="3"/>
        <v>0.005753822011935614</v>
      </c>
      <c r="U3" s="96">
        <f t="shared" si="4"/>
        <v>24809.889722600004</v>
      </c>
      <c r="Z3" s="95">
        <v>2</v>
      </c>
      <c r="AA3" s="95">
        <v>7</v>
      </c>
      <c r="AB3" s="95">
        <v>2</v>
      </c>
      <c r="AC3" s="97">
        <v>16.5</v>
      </c>
      <c r="AD3" s="97">
        <v>13</v>
      </c>
      <c r="AE3" s="96">
        <f t="shared" si="5"/>
        <v>214.5</v>
      </c>
    </row>
    <row r="4" spans="1:31" ht="15">
      <c r="A4" s="91">
        <v>3</v>
      </c>
      <c r="B4" s="91" t="s">
        <v>111</v>
      </c>
      <c r="C4" s="91" t="s">
        <v>104</v>
      </c>
      <c r="E4" s="91" t="s">
        <v>59</v>
      </c>
      <c r="F4" s="93"/>
      <c r="G4" s="93"/>
      <c r="H4" s="93">
        <v>42059</v>
      </c>
      <c r="I4" s="94" t="s">
        <v>112</v>
      </c>
      <c r="J4" s="91">
        <f t="shared" si="0"/>
        <v>42059</v>
      </c>
      <c r="K4" s="95">
        <v>508</v>
      </c>
      <c r="Q4" s="96">
        <f t="shared" si="1"/>
        <v>0</v>
      </c>
      <c r="R4" s="95">
        <f t="shared" si="2"/>
        <v>-508</v>
      </c>
      <c r="S4" s="96">
        <f t="shared" si="3"/>
        <v>-0.012078271000261537</v>
      </c>
      <c r="U4" s="96">
        <f t="shared" si="4"/>
        <v>24809.889722600004</v>
      </c>
      <c r="AE4" s="96">
        <f t="shared" si="5"/>
        <v>0</v>
      </c>
    </row>
    <row r="5" spans="1:31" ht="15" outlineLevel="2">
      <c r="A5" s="91">
        <v>4</v>
      </c>
      <c r="B5" s="91" t="s">
        <v>111</v>
      </c>
      <c r="C5" s="91" t="s">
        <v>63</v>
      </c>
      <c r="E5" s="91" t="s">
        <v>58</v>
      </c>
      <c r="F5" s="93">
        <v>41721</v>
      </c>
      <c r="G5" s="93"/>
      <c r="H5" s="93">
        <v>42059</v>
      </c>
      <c r="I5" s="94" t="s">
        <v>113</v>
      </c>
      <c r="J5" s="91">
        <f t="shared" si="0"/>
        <v>338</v>
      </c>
      <c r="K5" s="95">
        <v>542</v>
      </c>
      <c r="Q5" s="96">
        <f t="shared" si="1"/>
        <v>0</v>
      </c>
      <c r="R5" s="95">
        <f t="shared" si="2"/>
        <v>-542</v>
      </c>
      <c r="S5" s="96">
        <f t="shared" si="3"/>
        <v>-0.012886659216814474</v>
      </c>
      <c r="U5" s="96">
        <f t="shared" si="4"/>
        <v>-18.1188376</v>
      </c>
      <c r="AE5" s="96">
        <f t="shared" si="5"/>
        <v>0</v>
      </c>
    </row>
    <row r="6" spans="1:31" ht="15" outlineLevel="2">
      <c r="A6" s="91">
        <v>5</v>
      </c>
      <c r="B6" s="91" t="s">
        <v>111</v>
      </c>
      <c r="C6" s="91" t="s">
        <v>63</v>
      </c>
      <c r="E6" s="91" t="s">
        <v>58</v>
      </c>
      <c r="F6" s="93">
        <v>41718</v>
      </c>
      <c r="G6" s="93"/>
      <c r="H6" s="93">
        <v>42059</v>
      </c>
      <c r="I6" s="94" t="s">
        <v>113</v>
      </c>
      <c r="J6" s="91">
        <f t="shared" si="0"/>
        <v>341</v>
      </c>
      <c r="K6" s="95">
        <v>536</v>
      </c>
      <c r="Q6" s="96">
        <f t="shared" si="1"/>
        <v>0</v>
      </c>
      <c r="R6" s="95">
        <f t="shared" si="2"/>
        <v>-536</v>
      </c>
      <c r="S6" s="96">
        <f t="shared" si="3"/>
        <v>-0.012744002472716898</v>
      </c>
      <c r="U6" s="96">
        <f t="shared" si="4"/>
        <v>-18.1607974</v>
      </c>
      <c r="AE6" s="96">
        <f t="shared" si="5"/>
        <v>0</v>
      </c>
    </row>
    <row r="7" spans="1:31" ht="15" outlineLevel="2">
      <c r="A7" s="91">
        <v>6</v>
      </c>
      <c r="B7" s="91" t="s">
        <v>111</v>
      </c>
      <c r="C7" s="91" t="s">
        <v>63</v>
      </c>
      <c r="E7" s="91" t="s">
        <v>58</v>
      </c>
      <c r="F7" s="93">
        <v>41621</v>
      </c>
      <c r="G7" s="93"/>
      <c r="H7" s="93">
        <v>42059</v>
      </c>
      <c r="I7" s="94" t="s">
        <v>113</v>
      </c>
      <c r="J7" s="91">
        <f t="shared" si="0"/>
        <v>438</v>
      </c>
      <c r="K7" s="95">
        <v>702</v>
      </c>
      <c r="P7" s="95">
        <v>810</v>
      </c>
      <c r="Q7" s="96">
        <f t="shared" si="1"/>
        <v>1.8493150684931507</v>
      </c>
      <c r="R7" s="95">
        <f t="shared" si="2"/>
        <v>108</v>
      </c>
      <c r="S7" s="96">
        <f t="shared" si="3"/>
        <v>0.00256782139375639</v>
      </c>
      <c r="U7" s="96">
        <f t="shared" si="4"/>
        <v>-19.3758776</v>
      </c>
      <c r="Z7" s="95">
        <v>3</v>
      </c>
      <c r="AA7" s="95">
        <v>7</v>
      </c>
      <c r="AB7" s="95">
        <v>3</v>
      </c>
      <c r="AC7" s="97">
        <v>16</v>
      </c>
      <c r="AD7" s="97">
        <v>13</v>
      </c>
      <c r="AE7" s="96">
        <f t="shared" si="5"/>
        <v>208</v>
      </c>
    </row>
    <row r="8" spans="1:31" ht="15" outlineLevel="2">
      <c r="A8" s="91">
        <v>7</v>
      </c>
      <c r="B8" s="91" t="s">
        <v>111</v>
      </c>
      <c r="C8" s="91" t="s">
        <v>61</v>
      </c>
      <c r="D8" s="92" t="s">
        <v>139</v>
      </c>
      <c r="E8" s="91" t="s">
        <v>59</v>
      </c>
      <c r="F8" s="93">
        <v>41619</v>
      </c>
      <c r="G8" s="93"/>
      <c r="H8" s="93">
        <v>42059</v>
      </c>
      <c r="I8" s="94" t="s">
        <v>114</v>
      </c>
      <c r="J8" s="91">
        <f t="shared" si="0"/>
        <v>440</v>
      </c>
      <c r="K8" s="95">
        <v>676</v>
      </c>
      <c r="P8" s="95">
        <v>848</v>
      </c>
      <c r="Q8" s="96">
        <f t="shared" si="1"/>
        <v>1.9272727272727272</v>
      </c>
      <c r="R8" s="95">
        <f t="shared" si="2"/>
        <v>172</v>
      </c>
      <c r="S8" s="96">
        <f t="shared" si="3"/>
        <v>0.004089493330797213</v>
      </c>
      <c r="U8" s="96">
        <f t="shared" si="4"/>
        <v>-19.39804</v>
      </c>
      <c r="Z8" s="95">
        <v>3</v>
      </c>
      <c r="AA8" s="95">
        <v>6</v>
      </c>
      <c r="AB8" s="95">
        <v>2</v>
      </c>
      <c r="AC8" s="97">
        <v>15</v>
      </c>
      <c r="AD8" s="97">
        <v>12</v>
      </c>
      <c r="AE8" s="96">
        <f t="shared" si="5"/>
        <v>180</v>
      </c>
    </row>
    <row r="9" spans="1:31" ht="15" outlineLevel="2">
      <c r="A9" s="91">
        <v>8</v>
      </c>
      <c r="B9" s="91" t="s">
        <v>111</v>
      </c>
      <c r="C9" s="91" t="s">
        <v>61</v>
      </c>
      <c r="D9" s="92" t="s">
        <v>140</v>
      </c>
      <c r="E9" s="91" t="s">
        <v>59</v>
      </c>
      <c r="F9" s="93">
        <v>41699</v>
      </c>
      <c r="G9" s="93"/>
      <c r="H9" s="93">
        <v>42059</v>
      </c>
      <c r="I9" s="94" t="s">
        <v>114</v>
      </c>
      <c r="J9" s="91">
        <f t="shared" si="0"/>
        <v>360</v>
      </c>
      <c r="K9" s="95">
        <v>542</v>
      </c>
      <c r="P9" s="95">
        <v>948</v>
      </c>
      <c r="Q9" s="96">
        <f t="shared" si="1"/>
        <v>2.6333333333333333</v>
      </c>
      <c r="R9" s="95">
        <f t="shared" si="2"/>
        <v>406</v>
      </c>
      <c r="S9" s="96">
        <f t="shared" si="3"/>
        <v>0.009653106350602726</v>
      </c>
      <c r="U9" s="96">
        <f t="shared" si="4"/>
        <v>-18.420440000000003</v>
      </c>
      <c r="Z9" s="95">
        <v>3</v>
      </c>
      <c r="AA9" s="95">
        <v>6</v>
      </c>
      <c r="AB9" s="95">
        <v>1</v>
      </c>
      <c r="AC9" s="97">
        <v>16</v>
      </c>
      <c r="AD9" s="97">
        <v>13</v>
      </c>
      <c r="AE9" s="96">
        <f t="shared" si="5"/>
        <v>208</v>
      </c>
    </row>
    <row r="10" spans="1:31" ht="15" outlineLevel="2">
      <c r="A10" s="91">
        <v>9</v>
      </c>
      <c r="B10" s="91" t="s">
        <v>111</v>
      </c>
      <c r="C10" s="91" t="s">
        <v>141</v>
      </c>
      <c r="D10" s="92" t="s">
        <v>142</v>
      </c>
      <c r="E10" s="91" t="s">
        <v>138</v>
      </c>
      <c r="F10" s="93">
        <v>41658</v>
      </c>
      <c r="G10" s="93"/>
      <c r="H10" s="93">
        <v>42059</v>
      </c>
      <c r="I10" s="94" t="s">
        <v>115</v>
      </c>
      <c r="J10" s="91">
        <f t="shared" si="0"/>
        <v>401</v>
      </c>
      <c r="K10" s="95">
        <v>548</v>
      </c>
      <c r="P10" s="95">
        <v>868</v>
      </c>
      <c r="Q10" s="96">
        <f t="shared" si="1"/>
        <v>2.1645885286783044</v>
      </c>
      <c r="R10" s="95">
        <f t="shared" si="2"/>
        <v>320</v>
      </c>
      <c r="S10" s="96">
        <f t="shared" si="3"/>
        <v>0.007608359685204118</v>
      </c>
      <c r="U10" s="96">
        <f t="shared" si="4"/>
        <v>-18.9448054</v>
      </c>
      <c r="Z10" s="95">
        <v>3</v>
      </c>
      <c r="AA10" s="95">
        <v>7</v>
      </c>
      <c r="AB10" s="95">
        <v>1</v>
      </c>
      <c r="AC10" s="97">
        <v>14</v>
      </c>
      <c r="AD10" s="97">
        <v>12</v>
      </c>
      <c r="AE10" s="96">
        <f t="shared" si="5"/>
        <v>168</v>
      </c>
    </row>
    <row r="11" spans="1:31" ht="15" outlineLevel="2">
      <c r="A11" s="91">
        <v>10</v>
      </c>
      <c r="B11" s="91" t="s">
        <v>111</v>
      </c>
      <c r="C11" s="91" t="s">
        <v>141</v>
      </c>
      <c r="D11" s="92" t="s">
        <v>143</v>
      </c>
      <c r="E11" s="91" t="s">
        <v>59</v>
      </c>
      <c r="F11" s="93">
        <v>41658</v>
      </c>
      <c r="G11" s="93"/>
      <c r="H11" s="93">
        <v>42059</v>
      </c>
      <c r="I11" s="94" t="s">
        <v>115</v>
      </c>
      <c r="J11" s="91">
        <f t="shared" si="0"/>
        <v>401</v>
      </c>
      <c r="K11" s="95">
        <v>658</v>
      </c>
      <c r="Q11" s="96">
        <f t="shared" si="1"/>
        <v>0</v>
      </c>
      <c r="R11" s="95">
        <f t="shared" si="2"/>
        <v>-658</v>
      </c>
      <c r="S11" s="96">
        <f t="shared" si="3"/>
        <v>-0.01564468960270097</v>
      </c>
      <c r="U11" s="96">
        <f t="shared" si="4"/>
        <v>-18.9448054</v>
      </c>
      <c r="AE11" s="96">
        <f t="shared" si="5"/>
        <v>0</v>
      </c>
    </row>
    <row r="12" spans="6:8" ht="15" outlineLevel="2">
      <c r="F12" s="93"/>
      <c r="G12" s="93"/>
      <c r="H12" s="93"/>
    </row>
    <row r="13" spans="6:8" ht="15" outlineLevel="2">
      <c r="F13" s="93"/>
      <c r="G13" s="93"/>
      <c r="H13" s="93"/>
    </row>
    <row r="14" spans="6:8" ht="15" outlineLevel="2">
      <c r="F14" s="93"/>
      <c r="G14" s="93"/>
      <c r="H14" s="93"/>
    </row>
    <row r="15" spans="6:8" ht="15" outlineLevel="1">
      <c r="F15" s="93"/>
      <c r="G15" s="93"/>
      <c r="H15" s="93"/>
    </row>
    <row r="16" spans="6:8" ht="15" outlineLevel="2">
      <c r="F16" s="93"/>
      <c r="G16" s="93"/>
      <c r="H16" s="93"/>
    </row>
    <row r="17" spans="6:8" ht="15" outlineLevel="2">
      <c r="F17" s="93"/>
      <c r="G17" s="93"/>
      <c r="H17" s="93"/>
    </row>
    <row r="18" spans="6:8" ht="15" outlineLevel="2">
      <c r="F18" s="93"/>
      <c r="G18" s="93"/>
      <c r="H18" s="93"/>
    </row>
    <row r="19" spans="6:8" ht="15" outlineLevel="1">
      <c r="F19" s="93"/>
      <c r="G19" s="93"/>
      <c r="H19" s="93"/>
    </row>
    <row r="20" spans="6:8" ht="15" outlineLevel="2">
      <c r="F20" s="93"/>
      <c r="G20" s="93"/>
      <c r="H20" s="93"/>
    </row>
    <row r="21" spans="6:8" ht="15" outlineLevel="2">
      <c r="F21" s="93"/>
      <c r="G21" s="93"/>
      <c r="H21" s="93"/>
    </row>
    <row r="22" spans="6:8" ht="15" outlineLevel="2">
      <c r="F22" s="93"/>
      <c r="G22" s="93"/>
      <c r="H22" s="93"/>
    </row>
    <row r="23" spans="6:8" ht="15" outlineLevel="2">
      <c r="F23" s="93"/>
      <c r="G23" s="93"/>
      <c r="H23" s="93"/>
    </row>
    <row r="24" spans="6:8" ht="15" outlineLevel="2">
      <c r="F24" s="93"/>
      <c r="G24" s="93"/>
      <c r="H24" s="93"/>
    </row>
    <row r="25" spans="6:8" ht="15" outlineLevel="2">
      <c r="F25" s="93"/>
      <c r="G25" s="93"/>
      <c r="H25" s="93"/>
    </row>
    <row r="26" spans="6:8" ht="15" outlineLevel="2">
      <c r="F26" s="93"/>
      <c r="G26" s="93"/>
      <c r="H26" s="93"/>
    </row>
    <row r="27" spans="6:8" ht="15" outlineLevel="1">
      <c r="F27" s="93"/>
      <c r="G27" s="93"/>
      <c r="H27" s="93"/>
    </row>
    <row r="28" spans="6:8" ht="15">
      <c r="F28" s="93"/>
      <c r="G28" s="93"/>
      <c r="H28" s="93"/>
    </row>
    <row r="29" spans="6:8" ht="15">
      <c r="F29" s="93"/>
      <c r="G29" s="93"/>
      <c r="H29" s="93"/>
    </row>
    <row r="30" spans="6:8" ht="15">
      <c r="F30" s="93"/>
      <c r="G30" s="93"/>
      <c r="H30" s="93"/>
    </row>
    <row r="31" spans="6:8" ht="15">
      <c r="F31" s="93"/>
      <c r="G31" s="93"/>
      <c r="H31" s="93"/>
    </row>
    <row r="32" spans="6:8" ht="15">
      <c r="F32" s="93"/>
      <c r="G32" s="93"/>
      <c r="H32" s="93"/>
    </row>
    <row r="33" spans="6:8" ht="15">
      <c r="F33" s="93"/>
      <c r="G33" s="93"/>
      <c r="H33" s="93"/>
    </row>
    <row r="34" spans="6:8" ht="15">
      <c r="F34" s="93"/>
      <c r="G34" s="93"/>
      <c r="H34" s="93"/>
    </row>
    <row r="35" spans="6:8" ht="15">
      <c r="F35" s="93"/>
      <c r="G35" s="93"/>
      <c r="H35" s="93"/>
    </row>
    <row r="36" spans="6:8" ht="15">
      <c r="F36" s="93"/>
      <c r="G36" s="93"/>
      <c r="H36" s="93"/>
    </row>
    <row r="37" spans="6:8" ht="15">
      <c r="F37" s="93"/>
      <c r="G37" s="93"/>
      <c r="H37" s="93"/>
    </row>
    <row r="38" spans="6:8" ht="15">
      <c r="F38" s="93"/>
      <c r="G38" s="93"/>
      <c r="H38" s="93"/>
    </row>
    <row r="39" spans="6:8" ht="15">
      <c r="F39" s="93"/>
      <c r="G39" s="93"/>
      <c r="H39" s="93"/>
    </row>
    <row r="40" spans="6:8" ht="15">
      <c r="F40" s="93"/>
      <c r="G40" s="93"/>
      <c r="H40" s="93"/>
    </row>
    <row r="41" spans="6:8" ht="15">
      <c r="F41" s="93"/>
      <c r="G41" s="93"/>
      <c r="H41" s="93"/>
    </row>
    <row r="42" spans="6:8" ht="15">
      <c r="F42" s="93"/>
      <c r="G42" s="93"/>
      <c r="H42" s="93"/>
    </row>
    <row r="43" spans="6:8" ht="15">
      <c r="F43" s="93"/>
      <c r="G43" s="93"/>
      <c r="H43" s="93"/>
    </row>
    <row r="44" spans="6:8" ht="15">
      <c r="F44" s="93"/>
      <c r="G44" s="93"/>
      <c r="H44" s="93"/>
    </row>
    <row r="45" spans="6:8" ht="15">
      <c r="F45" s="93"/>
      <c r="G45" s="93"/>
      <c r="H45" s="93"/>
    </row>
    <row r="46" spans="6:8" ht="15">
      <c r="F46" s="93"/>
      <c r="G46" s="93"/>
      <c r="H46" s="93"/>
    </row>
    <row r="47" spans="6:8" ht="15">
      <c r="F47" s="93"/>
      <c r="G47" s="93"/>
      <c r="H47" s="93"/>
    </row>
    <row r="48" spans="6:8" ht="15">
      <c r="F48" s="93"/>
      <c r="G48" s="93"/>
      <c r="H48" s="93"/>
    </row>
    <row r="49" spans="6:8" ht="15">
      <c r="F49" s="93"/>
      <c r="G49" s="93"/>
      <c r="H49" s="93"/>
    </row>
    <row r="50" spans="6:8" ht="15">
      <c r="F50" s="93"/>
      <c r="G50" s="93"/>
      <c r="H50" s="93"/>
    </row>
    <row r="51" spans="6:8" ht="15">
      <c r="F51" s="93"/>
      <c r="G51" s="93"/>
      <c r="H51" s="93"/>
    </row>
    <row r="52" spans="6:8" ht="15">
      <c r="F52" s="93"/>
      <c r="G52" s="93"/>
      <c r="H52" s="93"/>
    </row>
    <row r="53" spans="6:8" ht="15">
      <c r="F53" s="93"/>
      <c r="G53" s="93"/>
      <c r="H53" s="93"/>
    </row>
    <row r="54" spans="6:8" ht="15">
      <c r="F54" s="93"/>
      <c r="G54" s="93"/>
      <c r="H54" s="93"/>
    </row>
    <row r="55" spans="6:8" ht="15">
      <c r="F55" s="93"/>
      <c r="G55" s="93"/>
      <c r="H55" s="93"/>
    </row>
    <row r="56" spans="6:8" ht="15">
      <c r="F56" s="93"/>
      <c r="G56" s="93"/>
      <c r="H56" s="93"/>
    </row>
    <row r="57" spans="6:8" ht="15">
      <c r="F57" s="93"/>
      <c r="G57" s="93"/>
      <c r="H57" s="93"/>
    </row>
    <row r="58" spans="6:8" ht="15">
      <c r="F58" s="93"/>
      <c r="G58" s="93"/>
      <c r="H58" s="93"/>
    </row>
    <row r="59" spans="6:8" ht="15">
      <c r="F59" s="93"/>
      <c r="G59" s="93"/>
      <c r="H59" s="93"/>
    </row>
    <row r="60" spans="6:8" ht="15">
      <c r="F60" s="93"/>
      <c r="G60" s="93"/>
      <c r="H60" s="93"/>
    </row>
    <row r="61" spans="6:8" ht="15">
      <c r="F61" s="93"/>
      <c r="G61" s="93"/>
      <c r="H61" s="93"/>
    </row>
    <row r="62" spans="6:8" ht="15">
      <c r="F62" s="93"/>
      <c r="G62" s="93"/>
      <c r="H62" s="93"/>
    </row>
    <row r="63" spans="6:8" ht="15">
      <c r="F63" s="93"/>
      <c r="G63" s="93"/>
      <c r="H63" s="93"/>
    </row>
    <row r="64" spans="6:8" ht="15">
      <c r="F64" s="93"/>
      <c r="G64" s="93"/>
      <c r="H64" s="93"/>
    </row>
    <row r="65" spans="6:8" ht="15">
      <c r="F65" s="93"/>
      <c r="G65" s="93"/>
      <c r="H65" s="93"/>
    </row>
    <row r="66" spans="6:8" ht="15">
      <c r="F66" s="93"/>
      <c r="G66" s="93"/>
      <c r="H66" s="93"/>
    </row>
    <row r="67" spans="6:8" ht="15">
      <c r="F67" s="93"/>
      <c r="G67" s="93"/>
      <c r="H67" s="93"/>
    </row>
    <row r="68" spans="6:8" ht="15">
      <c r="F68" s="93"/>
      <c r="G68" s="93"/>
      <c r="H68" s="93"/>
    </row>
    <row r="69" spans="6:8" ht="15">
      <c r="F69" s="93"/>
      <c r="G69" s="93"/>
      <c r="H69" s="93"/>
    </row>
    <row r="70" spans="6:8" ht="15">
      <c r="F70" s="93"/>
      <c r="G70" s="93"/>
      <c r="H70" s="93"/>
    </row>
    <row r="71" spans="6:8" ht="15">
      <c r="F71" s="93"/>
      <c r="G71" s="93"/>
      <c r="H71" s="93"/>
    </row>
    <row r="72" spans="6:8" ht="15">
      <c r="F72" s="93"/>
      <c r="G72" s="93"/>
      <c r="H72" s="93"/>
    </row>
    <row r="73" spans="6:8" ht="15">
      <c r="F73" s="93"/>
      <c r="G73" s="93"/>
      <c r="H73" s="93"/>
    </row>
    <row r="74" spans="6:8" ht="15">
      <c r="F74" s="93"/>
      <c r="G74" s="93"/>
      <c r="H74" s="93"/>
    </row>
    <row r="75" spans="6:8" ht="15">
      <c r="F75" s="93"/>
      <c r="G75" s="93"/>
      <c r="H75" s="93"/>
    </row>
    <row r="76" spans="6:8" ht="15">
      <c r="F76" s="93"/>
      <c r="G76" s="93"/>
      <c r="H76" s="93"/>
    </row>
    <row r="77" spans="6:8" ht="15">
      <c r="F77" s="93"/>
      <c r="G77" s="93"/>
      <c r="H77" s="93"/>
    </row>
    <row r="78" spans="6:8" ht="15">
      <c r="F78" s="93"/>
      <c r="G78" s="93"/>
      <c r="H78" s="93"/>
    </row>
    <row r="79" spans="6:8" ht="15">
      <c r="F79" s="93"/>
      <c r="G79" s="93"/>
      <c r="H79" s="93"/>
    </row>
    <row r="80" spans="6:8" ht="15">
      <c r="F80" s="93"/>
      <c r="G80" s="93"/>
      <c r="H80" s="93"/>
    </row>
    <row r="81" spans="6:8" ht="15">
      <c r="F81" s="93"/>
      <c r="G81" s="93"/>
      <c r="H81" s="93"/>
    </row>
    <row r="82" spans="6:8" ht="15">
      <c r="F82" s="93"/>
      <c r="G82" s="93"/>
      <c r="H82" s="93"/>
    </row>
    <row r="83" spans="6:8" ht="15">
      <c r="F83" s="93"/>
      <c r="G83" s="93"/>
      <c r="H83" s="93"/>
    </row>
    <row r="84" spans="6:8" ht="15">
      <c r="F84" s="93"/>
      <c r="G84" s="93"/>
      <c r="H84" s="93"/>
    </row>
    <row r="85" spans="6:8" ht="15">
      <c r="F85" s="93"/>
      <c r="G85" s="93"/>
      <c r="H85" s="93"/>
    </row>
    <row r="86" spans="6:8" ht="15">
      <c r="F86" s="93"/>
      <c r="G86" s="93"/>
      <c r="H86" s="93"/>
    </row>
    <row r="87" spans="6:8" ht="15">
      <c r="F87" s="93"/>
      <c r="G87" s="93"/>
      <c r="H87" s="93"/>
    </row>
    <row r="88" spans="6:8" ht="15">
      <c r="F88" s="93"/>
      <c r="G88" s="93"/>
      <c r="H88" s="93"/>
    </row>
    <row r="89" spans="6:8" ht="15">
      <c r="F89" s="93"/>
      <c r="G89" s="93"/>
      <c r="H89" s="93"/>
    </row>
    <row r="90" spans="6:8" ht="15">
      <c r="F90" s="93"/>
      <c r="G90" s="93"/>
      <c r="H90" s="93"/>
    </row>
    <row r="91" spans="6:8" ht="15">
      <c r="F91" s="93"/>
      <c r="G91" s="93"/>
      <c r="H91" s="93"/>
    </row>
    <row r="92" spans="6:8" ht="15">
      <c r="F92" s="93"/>
      <c r="G92" s="93"/>
      <c r="H92" s="93"/>
    </row>
    <row r="93" spans="6:8" ht="15">
      <c r="F93" s="93"/>
      <c r="G93" s="93"/>
      <c r="H93" s="93"/>
    </row>
    <row r="94" spans="6:8" ht="15">
      <c r="F94" s="93"/>
      <c r="G94" s="93"/>
      <c r="H94" s="93"/>
    </row>
    <row r="95" spans="6:8" ht="15">
      <c r="F95" s="93"/>
      <c r="G95" s="93"/>
      <c r="H95" s="93"/>
    </row>
    <row r="96" spans="6:8" ht="15">
      <c r="F96" s="93"/>
      <c r="G96" s="93"/>
      <c r="H96" s="93"/>
    </row>
    <row r="97" spans="6:8" ht="15">
      <c r="F97" s="93"/>
      <c r="G97" s="93"/>
      <c r="H97" s="93"/>
    </row>
    <row r="98" spans="6:8" ht="15">
      <c r="F98" s="93"/>
      <c r="G98" s="93"/>
      <c r="H98" s="93"/>
    </row>
    <row r="99" spans="6:8" ht="15">
      <c r="F99" s="93"/>
      <c r="G99" s="93"/>
      <c r="H99" s="93"/>
    </row>
    <row r="100" spans="6:8" ht="15">
      <c r="F100" s="93"/>
      <c r="G100" s="93"/>
      <c r="H100" s="93"/>
    </row>
    <row r="101" spans="6:8" ht="15">
      <c r="F101" s="93"/>
      <c r="G101" s="93"/>
      <c r="H101" s="93"/>
    </row>
    <row r="102" spans="6:8" ht="15">
      <c r="F102" s="93"/>
      <c r="G102" s="93"/>
      <c r="H102" s="93"/>
    </row>
    <row r="103" spans="6:8" ht="15">
      <c r="F103" s="93"/>
      <c r="G103" s="93"/>
      <c r="H103" s="93"/>
    </row>
    <row r="104" spans="6:8" ht="15">
      <c r="F104" s="93"/>
      <c r="G104" s="93"/>
      <c r="H104" s="93"/>
    </row>
    <row r="105" spans="6:8" ht="15">
      <c r="F105" s="93"/>
      <c r="G105" s="93"/>
      <c r="H105" s="93"/>
    </row>
    <row r="106" spans="6:8" ht="15">
      <c r="F106" s="93"/>
      <c r="G106" s="93"/>
      <c r="H106" s="93"/>
    </row>
    <row r="107" spans="6:8" ht="15">
      <c r="F107" s="93"/>
      <c r="G107" s="93"/>
      <c r="H107" s="93"/>
    </row>
    <row r="108" ht="15">
      <c r="F108" s="93"/>
    </row>
  </sheetData>
  <sheetProtection/>
  <printOptions gridLines="1"/>
  <pageMargins left="0.5" right="0.5" top="1" bottom="1" header="0.5" footer="0.5"/>
  <pageSetup horizontalDpi="600" verticalDpi="600" orientation="landscape" scale="95" r:id="rId1"/>
  <headerFooter alignWithMargins="0">
    <oddHeader>&amp;C2014-15 Rio Grande Valley BIA Heifer Test Results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73"/>
  <sheetViews>
    <sheetView zoomScalePageLayoutView="0" workbookViewId="0" topLeftCell="A1">
      <selection activeCell="H1" sqref="H1:H16384"/>
    </sheetView>
  </sheetViews>
  <sheetFormatPr defaultColWidth="9.140625" defaultRowHeight="12.75" outlineLevelRow="2"/>
  <cols>
    <col min="1" max="1" width="8.8515625" style="5" bestFit="1" customWidth="1"/>
    <col min="4" max="4" width="32.140625" style="0" customWidth="1"/>
    <col min="5" max="5" width="9.140625" style="22" customWidth="1"/>
    <col min="6" max="6" width="23.7109375" style="0" customWidth="1"/>
    <col min="7" max="7" width="12.421875" style="9" customWidth="1"/>
    <col min="8" max="8" width="10.00390625" style="9" hidden="1" customWidth="1"/>
    <col min="9" max="9" width="10.00390625" style="9" customWidth="1"/>
    <col min="10" max="10" width="9.140625" style="6" customWidth="1"/>
    <col min="11" max="11" width="4.421875" style="1" customWidth="1"/>
    <col min="12" max="12" width="9.140625" style="1" customWidth="1"/>
    <col min="13" max="13" width="7.8515625" style="7" customWidth="1"/>
    <col min="14" max="14" width="8.57421875" style="1" customWidth="1"/>
    <col min="15" max="15" width="8.421875" style="1" customWidth="1"/>
    <col min="16" max="16" width="9.421875" style="7" customWidth="1"/>
    <col min="17" max="17" width="9.421875" style="1" hidden="1" customWidth="1"/>
    <col min="18" max="19" width="7.421875" style="1" hidden="1" customWidth="1"/>
    <col min="20" max="20" width="7.421875" style="2" hidden="1" customWidth="1"/>
    <col min="21" max="21" width="7.421875" style="1" hidden="1" customWidth="1"/>
    <col min="22" max="22" width="9.140625" style="1" customWidth="1"/>
    <col min="23" max="24" width="9.00390625" style="1" customWidth="1"/>
    <col min="25" max="25" width="9.140625" style="2" customWidth="1"/>
    <col min="26" max="26" width="6.421875" style="1" customWidth="1"/>
    <col min="27" max="27" width="6.28125" style="2" customWidth="1"/>
    <col min="28" max="28" width="6.8515625" style="2" customWidth="1"/>
    <col min="29" max="29" width="6.8515625" style="3" customWidth="1"/>
    <col min="30" max="30" width="7.28125" style="3" customWidth="1"/>
    <col min="31" max="31" width="9.7109375" style="2" customWidth="1"/>
    <col min="32" max="32" width="7.28125" style="2" customWidth="1"/>
    <col min="33" max="33" width="6.8515625" style="2" customWidth="1"/>
    <col min="34" max="34" width="6.421875" style="3" customWidth="1"/>
    <col min="35" max="36" width="7.421875" style="1" customWidth="1"/>
    <col min="37" max="37" width="7.28125" style="3" customWidth="1"/>
    <col min="38" max="38" width="7.421875" style="3" customWidth="1"/>
    <col min="39" max="39" width="10.00390625" style="2" customWidth="1"/>
    <col min="40" max="40" width="9.140625" style="19" customWidth="1"/>
    <col min="41" max="41" width="9.8515625" style="19" customWidth="1"/>
    <col min="42" max="42" width="10.8515625" style="19" customWidth="1"/>
    <col min="43" max="43" width="9.140625" style="19" customWidth="1"/>
    <col min="44" max="44" width="7.421875" style="19" customWidth="1"/>
    <col min="45" max="45" width="9.140625" style="19" customWidth="1"/>
    <col min="46" max="46" width="30.00390625" style="18" customWidth="1"/>
    <col min="47" max="47" width="9.57421875" style="0" customWidth="1"/>
    <col min="48" max="48" width="10.57421875" style="0" customWidth="1"/>
    <col min="49" max="49" width="9.57421875" style="1" customWidth="1"/>
    <col min="50" max="50" width="9.57421875" style="0" customWidth="1"/>
    <col min="51" max="51" width="10.421875" style="0" customWidth="1"/>
    <col min="52" max="52" width="13.28125" style="0" customWidth="1"/>
    <col min="53" max="53" width="10.7109375" style="4" customWidth="1"/>
    <col min="54" max="54" width="9.140625" style="1" customWidth="1"/>
    <col min="55" max="55" width="9.140625" style="4" customWidth="1"/>
    <col min="56" max="56" width="10.140625" style="4" customWidth="1"/>
    <col min="57" max="58" width="9.140625" style="1" customWidth="1"/>
    <col min="59" max="61" width="11.00390625" style="0" customWidth="1"/>
    <col min="62" max="62" width="11.140625" style="4" customWidth="1"/>
    <col min="63" max="63" width="10.57421875" style="1" customWidth="1"/>
    <col min="64" max="65" width="10.57421875" style="4" customWidth="1"/>
    <col min="66" max="66" width="10.8515625" style="0" customWidth="1"/>
    <col min="67" max="67" width="11.140625" style="0" customWidth="1"/>
    <col min="68" max="68" width="10.7109375" style="0" customWidth="1"/>
    <col min="70" max="70" width="11.57421875" style="4" customWidth="1"/>
    <col min="71" max="71" width="10.8515625" style="0" customWidth="1"/>
    <col min="72" max="72" width="10.00390625" style="0" customWidth="1"/>
    <col min="73" max="73" width="10.7109375" style="0" customWidth="1"/>
    <col min="74" max="74" width="9.140625" style="3" customWidth="1"/>
    <col min="75" max="76" width="9.140625" style="4" customWidth="1"/>
  </cols>
  <sheetData>
    <row r="1" spans="1:76" s="83" customFormat="1" ht="31.5" customHeight="1">
      <c r="A1" s="83" t="s">
        <v>0</v>
      </c>
      <c r="B1" s="83" t="s">
        <v>20</v>
      </c>
      <c r="C1" s="83" t="s">
        <v>42</v>
      </c>
      <c r="D1" s="83" t="s">
        <v>1</v>
      </c>
      <c r="E1" s="84" t="s">
        <v>2</v>
      </c>
      <c r="F1" s="83" t="s">
        <v>3</v>
      </c>
      <c r="G1" s="85" t="s">
        <v>4</v>
      </c>
      <c r="H1" s="85" t="s">
        <v>32</v>
      </c>
      <c r="I1" s="85" t="s">
        <v>31</v>
      </c>
      <c r="J1" s="85" t="s">
        <v>16</v>
      </c>
      <c r="K1" s="84" t="s">
        <v>5</v>
      </c>
      <c r="L1" s="86" t="s">
        <v>6</v>
      </c>
      <c r="M1" s="86" t="s">
        <v>7</v>
      </c>
      <c r="N1" s="86" t="s">
        <v>27</v>
      </c>
      <c r="O1" s="86" t="s">
        <v>28</v>
      </c>
      <c r="P1" s="86" t="s">
        <v>8</v>
      </c>
      <c r="Q1" s="86" t="s">
        <v>26</v>
      </c>
      <c r="R1" s="86" t="s">
        <v>9</v>
      </c>
      <c r="S1" s="86" t="s">
        <v>11</v>
      </c>
      <c r="T1" s="87" t="s">
        <v>21</v>
      </c>
      <c r="U1" s="86" t="s">
        <v>52</v>
      </c>
      <c r="V1" s="86" t="s">
        <v>29</v>
      </c>
      <c r="W1" s="86" t="s">
        <v>30</v>
      </c>
      <c r="X1" s="86" t="s">
        <v>12</v>
      </c>
      <c r="Y1" s="87" t="s">
        <v>10</v>
      </c>
      <c r="Z1" s="86" t="s">
        <v>14</v>
      </c>
      <c r="AA1" s="87" t="s">
        <v>15</v>
      </c>
      <c r="AB1" s="87" t="s">
        <v>13</v>
      </c>
      <c r="AC1" s="88" t="s">
        <v>25</v>
      </c>
      <c r="AD1" s="87" t="s">
        <v>66</v>
      </c>
      <c r="AE1" s="87" t="s">
        <v>19</v>
      </c>
      <c r="AF1" s="87" t="s">
        <v>18</v>
      </c>
      <c r="AG1" s="87" t="s">
        <v>17</v>
      </c>
      <c r="AH1" s="88" t="s">
        <v>45</v>
      </c>
      <c r="AI1" s="86" t="s">
        <v>33</v>
      </c>
      <c r="AJ1" s="86" t="s">
        <v>51</v>
      </c>
      <c r="AK1" s="88" t="s">
        <v>22</v>
      </c>
      <c r="AL1" s="88" t="s">
        <v>23</v>
      </c>
      <c r="AM1" s="87" t="s">
        <v>24</v>
      </c>
      <c r="AN1" s="87" t="s">
        <v>37</v>
      </c>
      <c r="AO1" s="87" t="s">
        <v>38</v>
      </c>
      <c r="AP1" s="87" t="s">
        <v>39</v>
      </c>
      <c r="AQ1" s="87" t="s">
        <v>40</v>
      </c>
      <c r="AR1" s="87" t="s">
        <v>46</v>
      </c>
      <c r="AS1" s="87" t="s">
        <v>43</v>
      </c>
      <c r="AT1" s="87" t="s">
        <v>44</v>
      </c>
      <c r="AU1" s="87"/>
      <c r="AV1" s="87"/>
      <c r="AW1" s="86"/>
      <c r="AX1" s="89"/>
      <c r="AY1" s="89"/>
      <c r="BA1" s="89"/>
      <c r="BB1" s="86"/>
      <c r="BC1" s="89"/>
      <c r="BD1" s="89"/>
      <c r="BE1" s="86"/>
      <c r="BF1" s="89"/>
      <c r="BJ1" s="89"/>
      <c r="BK1" s="86"/>
      <c r="BL1" s="89"/>
      <c r="BN1" s="89"/>
      <c r="BO1" s="86"/>
      <c r="BR1" s="89"/>
      <c r="BV1" s="88"/>
      <c r="BW1" s="89"/>
      <c r="BX1" s="89"/>
    </row>
    <row r="2" spans="1:76" s="98" customFormat="1" ht="15">
      <c r="A2" s="91">
        <v>1</v>
      </c>
      <c r="B2" s="91" t="s">
        <v>55</v>
      </c>
      <c r="C2" s="91" t="s">
        <v>56</v>
      </c>
      <c r="D2" s="98" t="s">
        <v>67</v>
      </c>
      <c r="E2" s="99" t="s">
        <v>68</v>
      </c>
      <c r="F2" s="91" t="s">
        <v>134</v>
      </c>
      <c r="G2" s="100">
        <v>41569</v>
      </c>
      <c r="H2" s="100"/>
      <c r="I2" s="100">
        <v>41949</v>
      </c>
      <c r="J2" s="101">
        <v>42060</v>
      </c>
      <c r="K2" s="94" t="s">
        <v>116</v>
      </c>
      <c r="L2" s="95">
        <f aca="true" t="shared" si="0" ref="L2:L38">J2-G2</f>
        <v>491</v>
      </c>
      <c r="M2" s="95">
        <v>762</v>
      </c>
      <c r="N2" s="95">
        <v>860</v>
      </c>
      <c r="O2" s="95">
        <v>848</v>
      </c>
      <c r="P2" s="102">
        <f aca="true" t="shared" si="1" ref="P2:P38">AVERAGE(N2:O2)</f>
        <v>854</v>
      </c>
      <c r="Q2" s="103"/>
      <c r="R2" s="102"/>
      <c r="S2" s="103"/>
      <c r="T2" s="104"/>
      <c r="U2" s="103"/>
      <c r="V2" s="119">
        <v>1270</v>
      </c>
      <c r="W2" s="102">
        <v>1280</v>
      </c>
      <c r="X2" s="103">
        <f>(V2+W2)/2</f>
        <v>1275</v>
      </c>
      <c r="Y2" s="104">
        <f aca="true" t="shared" si="2" ref="Y2:Y38">(X2/L2)</f>
        <v>2.5967413441955194</v>
      </c>
      <c r="Z2" s="103">
        <f aca="true" t="shared" si="3" ref="Z2:Z38">(X2-P2)</f>
        <v>421</v>
      </c>
      <c r="AA2" s="105">
        <f aca="true" t="shared" si="4" ref="AA2:AA38">(Z2/112)</f>
        <v>3.7589285714285716</v>
      </c>
      <c r="AB2" s="105">
        <v>54</v>
      </c>
      <c r="AC2" s="106">
        <f>-11.548+0.4878*(AB2)-0.0289*(L2)+0.00001947*(L2*L2)+0.0000334*(AB3*L2)</f>
        <v>6.149915870000001</v>
      </c>
      <c r="AD2" s="118">
        <v>13.9929</v>
      </c>
      <c r="AE2" s="105">
        <f>AD2/X2*100</f>
        <v>1.0974823529411764</v>
      </c>
      <c r="AF2" s="118">
        <v>0.250939</v>
      </c>
      <c r="AG2" s="118">
        <v>4.00131</v>
      </c>
      <c r="AH2" s="106">
        <v>32</v>
      </c>
      <c r="AI2" s="103">
        <v>3</v>
      </c>
      <c r="AJ2" s="103">
        <v>6</v>
      </c>
      <c r="AK2" s="106">
        <v>15</v>
      </c>
      <c r="AL2" s="106">
        <v>12.5</v>
      </c>
      <c r="AM2" s="105">
        <f aca="true" t="shared" si="5" ref="AM2:AM38">(AK2*AL2)</f>
        <v>187.5</v>
      </c>
      <c r="AN2" s="105">
        <f aca="true" t="shared" si="6" ref="AN2:AN38">(AA2/3.68)*100</f>
        <v>102.14479813664596</v>
      </c>
      <c r="AO2" s="104">
        <f aca="true" t="shared" si="7" ref="AO2:AO38">(AE2/1.31)*100</f>
        <v>83.77727885047148</v>
      </c>
      <c r="AP2" s="105">
        <f aca="true" t="shared" si="8" ref="AP2:AP38">(Y2/2.79)*100</f>
        <v>93.07316645862078</v>
      </c>
      <c r="AQ2" s="104">
        <f aca="true" t="shared" si="9" ref="AQ2:AQ38">(AG2/2.45)*100</f>
        <v>163.3187755102041</v>
      </c>
      <c r="AR2" s="105">
        <f aca="true" t="shared" si="10" ref="AR2:AR38">(AH2/33.3)*100</f>
        <v>96.0960960960961</v>
      </c>
      <c r="AS2" s="105">
        <f aca="true" t="shared" si="11" ref="AS2:AS38">(AN2*0.35)+(AO2*0.2)+(AP2*0.2)+(AQ2*0.15)+(AR2*0.1)</f>
        <v>105.22819434578476</v>
      </c>
      <c r="AT2" s="91"/>
      <c r="AU2" s="91"/>
      <c r="AV2" s="91"/>
      <c r="AW2" s="107"/>
      <c r="AX2" s="108"/>
      <c r="AY2" s="108"/>
      <c r="AZ2" s="108"/>
      <c r="BA2" s="108"/>
      <c r="BB2" s="107"/>
      <c r="BC2" s="108"/>
      <c r="BD2" s="108"/>
      <c r="BE2" s="95"/>
      <c r="BF2" s="108"/>
      <c r="BG2" s="108"/>
      <c r="BH2" s="108"/>
      <c r="BI2" s="108"/>
      <c r="BJ2" s="108"/>
      <c r="BK2" s="107"/>
      <c r="BL2" s="108"/>
      <c r="BM2" s="108"/>
      <c r="BN2" s="108"/>
      <c r="BO2" s="107"/>
      <c r="BP2" s="108"/>
      <c r="BQ2" s="107"/>
      <c r="BR2" s="108"/>
      <c r="BS2" s="108"/>
      <c r="BT2" s="108"/>
      <c r="BU2" s="108"/>
      <c r="BV2" s="109"/>
      <c r="BW2" s="108"/>
      <c r="BX2" s="108"/>
    </row>
    <row r="3" spans="1:76" s="91" customFormat="1" ht="15">
      <c r="A3" s="91">
        <v>2</v>
      </c>
      <c r="B3" s="91" t="s">
        <v>54</v>
      </c>
      <c r="C3" s="91" t="s">
        <v>41</v>
      </c>
      <c r="D3" s="98" t="s">
        <v>67</v>
      </c>
      <c r="E3" s="99" t="s">
        <v>69</v>
      </c>
      <c r="F3" s="91" t="s">
        <v>137</v>
      </c>
      <c r="G3" s="100">
        <v>41566</v>
      </c>
      <c r="H3" s="100"/>
      <c r="I3" s="100">
        <v>41949</v>
      </c>
      <c r="J3" s="101">
        <v>42060</v>
      </c>
      <c r="K3" s="94" t="s">
        <v>116</v>
      </c>
      <c r="L3" s="95">
        <f t="shared" si="0"/>
        <v>494</v>
      </c>
      <c r="M3" s="95">
        <v>910</v>
      </c>
      <c r="N3" s="95">
        <v>942</v>
      </c>
      <c r="O3" s="95">
        <v>932</v>
      </c>
      <c r="P3" s="102">
        <f t="shared" si="1"/>
        <v>937</v>
      </c>
      <c r="Q3" s="103"/>
      <c r="R3" s="102"/>
      <c r="S3" s="103"/>
      <c r="T3" s="104"/>
      <c r="U3" s="103"/>
      <c r="V3" s="119">
        <v>1305</v>
      </c>
      <c r="W3" s="102">
        <v>1325</v>
      </c>
      <c r="X3" s="103">
        <f aca="true" t="shared" si="12" ref="X3:X38">(V3+W3)/2</f>
        <v>1315</v>
      </c>
      <c r="Y3" s="104">
        <f t="shared" si="2"/>
        <v>2.661943319838057</v>
      </c>
      <c r="Z3" s="103">
        <f t="shared" si="3"/>
        <v>378</v>
      </c>
      <c r="AA3" s="105">
        <f t="shared" si="4"/>
        <v>3.375</v>
      </c>
      <c r="AB3" s="105">
        <v>52</v>
      </c>
      <c r="AC3" s="106">
        <f aca="true" t="shared" si="13" ref="AC3:AC38">-11.548+0.4878*(AB3)-0.0289*(L3)+0.00001947*(L3*L3)+0.0000334*(AB4*L3)</f>
        <v>5.175109520000001</v>
      </c>
      <c r="AD3" s="118">
        <v>14.61</v>
      </c>
      <c r="AE3" s="105">
        <f aca="true" t="shared" si="14" ref="AE3:AE38">AD3/X3*100</f>
        <v>1.1110266159695819</v>
      </c>
      <c r="AF3" s="118">
        <v>0.230027</v>
      </c>
      <c r="AG3" s="118">
        <v>4.34235</v>
      </c>
      <c r="AH3" s="106">
        <v>39</v>
      </c>
      <c r="AI3" s="103">
        <v>3</v>
      </c>
      <c r="AJ3" s="103">
        <v>6</v>
      </c>
      <c r="AK3" s="106">
        <v>17</v>
      </c>
      <c r="AL3" s="106">
        <v>13</v>
      </c>
      <c r="AM3" s="105">
        <f t="shared" si="5"/>
        <v>221</v>
      </c>
      <c r="AN3" s="105">
        <f t="shared" si="6"/>
        <v>91.71195652173913</v>
      </c>
      <c r="AO3" s="104">
        <f t="shared" si="7"/>
        <v>84.8111920587467</v>
      </c>
      <c r="AP3" s="105">
        <f t="shared" si="8"/>
        <v>95.41015483290526</v>
      </c>
      <c r="AQ3" s="104">
        <f t="shared" si="9"/>
        <v>177.23877551020405</v>
      </c>
      <c r="AR3" s="105">
        <f t="shared" si="10"/>
        <v>117.11711711711712</v>
      </c>
      <c r="AS3" s="105">
        <f t="shared" si="11"/>
        <v>106.4409821991814</v>
      </c>
      <c r="AW3" s="107"/>
      <c r="AX3" s="108"/>
      <c r="AY3" s="108"/>
      <c r="AZ3" s="108"/>
      <c r="BA3" s="108"/>
      <c r="BB3" s="107"/>
      <c r="BC3" s="108"/>
      <c r="BD3" s="108"/>
      <c r="BE3" s="95"/>
      <c r="BF3" s="108"/>
      <c r="BG3" s="108"/>
      <c r="BH3" s="108"/>
      <c r="BI3" s="108"/>
      <c r="BJ3" s="108"/>
      <c r="BK3" s="107"/>
      <c r="BL3" s="108"/>
      <c r="BM3" s="108"/>
      <c r="BN3" s="108"/>
      <c r="BO3" s="107"/>
      <c r="BP3" s="108"/>
      <c r="BQ3" s="107"/>
      <c r="BR3" s="108"/>
      <c r="BS3" s="108"/>
      <c r="BT3" s="108"/>
      <c r="BU3" s="108"/>
      <c r="BV3" s="109"/>
      <c r="BW3" s="108"/>
      <c r="BX3" s="108"/>
    </row>
    <row r="4" spans="1:76" s="98" customFormat="1" ht="15">
      <c r="A4" s="91">
        <v>3</v>
      </c>
      <c r="B4" s="91" t="s">
        <v>55</v>
      </c>
      <c r="C4" s="91" t="s">
        <v>56</v>
      </c>
      <c r="D4" s="98" t="s">
        <v>67</v>
      </c>
      <c r="E4" s="110" t="s">
        <v>70</v>
      </c>
      <c r="F4" s="91" t="s">
        <v>134</v>
      </c>
      <c r="G4" s="100">
        <v>41608</v>
      </c>
      <c r="H4" s="100"/>
      <c r="I4" s="100">
        <v>41949</v>
      </c>
      <c r="J4" s="101">
        <v>42060</v>
      </c>
      <c r="K4" s="94" t="s">
        <v>116</v>
      </c>
      <c r="L4" s="95">
        <f t="shared" si="0"/>
        <v>452</v>
      </c>
      <c r="M4" s="95">
        <v>686</v>
      </c>
      <c r="N4" s="95">
        <v>716</v>
      </c>
      <c r="O4" s="95">
        <v>724</v>
      </c>
      <c r="P4" s="102">
        <f t="shared" si="1"/>
        <v>720</v>
      </c>
      <c r="Q4" s="103"/>
      <c r="R4" s="102"/>
      <c r="S4" s="103"/>
      <c r="T4" s="104"/>
      <c r="U4" s="103"/>
      <c r="V4" s="119">
        <v>1110</v>
      </c>
      <c r="W4" s="102">
        <v>1115</v>
      </c>
      <c r="X4" s="103">
        <f t="shared" si="12"/>
        <v>1112.5</v>
      </c>
      <c r="Y4" s="104">
        <f t="shared" si="2"/>
        <v>2.461283185840708</v>
      </c>
      <c r="Z4" s="103">
        <f t="shared" si="3"/>
        <v>392.5</v>
      </c>
      <c r="AA4" s="105">
        <f t="shared" si="4"/>
        <v>3.5044642857142856</v>
      </c>
      <c r="AB4" s="105">
        <v>53.5</v>
      </c>
      <c r="AC4" s="106">
        <f t="shared" si="13"/>
        <v>6.249332480000001</v>
      </c>
      <c r="AD4" s="118">
        <v>13.3735</v>
      </c>
      <c r="AE4" s="105">
        <f t="shared" si="14"/>
        <v>1.2021123595505618</v>
      </c>
      <c r="AF4" s="118">
        <v>0.080486</v>
      </c>
      <c r="AG4" s="118">
        <v>3.68227</v>
      </c>
      <c r="AH4" s="106">
        <v>36</v>
      </c>
      <c r="AI4" s="103">
        <v>4</v>
      </c>
      <c r="AJ4" s="103">
        <v>5</v>
      </c>
      <c r="AK4" s="106">
        <v>16</v>
      </c>
      <c r="AL4" s="106">
        <v>13.5</v>
      </c>
      <c r="AM4" s="105">
        <f t="shared" si="5"/>
        <v>216</v>
      </c>
      <c r="AN4" s="105">
        <f t="shared" si="6"/>
        <v>95.23000776397514</v>
      </c>
      <c r="AO4" s="104">
        <f t="shared" si="7"/>
        <v>91.76430225576807</v>
      </c>
      <c r="AP4" s="105">
        <f t="shared" si="8"/>
        <v>88.2180353347924</v>
      </c>
      <c r="AQ4" s="104">
        <f t="shared" si="9"/>
        <v>150.29673469387754</v>
      </c>
      <c r="AR4" s="105">
        <f t="shared" si="10"/>
        <v>108.10810810810811</v>
      </c>
      <c r="AS4" s="105">
        <f t="shared" si="11"/>
        <v>102.68229125039583</v>
      </c>
      <c r="AT4" s="91"/>
      <c r="AU4" s="91"/>
      <c r="AV4" s="91"/>
      <c r="AW4" s="107"/>
      <c r="AX4" s="108"/>
      <c r="AY4" s="108"/>
      <c r="AZ4" s="108"/>
      <c r="BA4" s="108"/>
      <c r="BB4" s="107"/>
      <c r="BC4" s="108"/>
      <c r="BD4" s="108"/>
      <c r="BE4" s="107"/>
      <c r="BF4" s="108"/>
      <c r="BG4" s="108"/>
      <c r="BH4" s="108"/>
      <c r="BI4" s="108"/>
      <c r="BJ4" s="108"/>
      <c r="BK4" s="107"/>
      <c r="BL4" s="108"/>
      <c r="BM4" s="108"/>
      <c r="BN4" s="108"/>
      <c r="BO4" s="107"/>
      <c r="BP4" s="108"/>
      <c r="BQ4" s="107"/>
      <c r="BR4" s="108"/>
      <c r="BS4" s="108"/>
      <c r="BT4" s="108"/>
      <c r="BU4" s="108"/>
      <c r="BV4" s="109"/>
      <c r="BW4" s="108"/>
      <c r="BX4" s="108"/>
    </row>
    <row r="5" spans="1:76" s="91" customFormat="1" ht="15">
      <c r="A5" s="91">
        <v>4</v>
      </c>
      <c r="B5" s="91" t="s">
        <v>55</v>
      </c>
      <c r="C5" s="91" t="s">
        <v>56</v>
      </c>
      <c r="D5" s="98" t="s">
        <v>67</v>
      </c>
      <c r="E5" s="99" t="s">
        <v>71</v>
      </c>
      <c r="F5" s="91" t="s">
        <v>134</v>
      </c>
      <c r="G5" s="100">
        <v>41621</v>
      </c>
      <c r="H5" s="100"/>
      <c r="I5" s="100">
        <v>41949</v>
      </c>
      <c r="J5" s="101">
        <v>42060</v>
      </c>
      <c r="K5" s="94" t="s">
        <v>116</v>
      </c>
      <c r="L5" s="95">
        <f t="shared" si="0"/>
        <v>439</v>
      </c>
      <c r="M5" s="95">
        <v>704</v>
      </c>
      <c r="N5" s="95">
        <v>734</v>
      </c>
      <c r="O5" s="95">
        <v>740</v>
      </c>
      <c r="P5" s="102">
        <f t="shared" si="1"/>
        <v>737</v>
      </c>
      <c r="Q5" s="103"/>
      <c r="R5" s="102"/>
      <c r="S5" s="103"/>
      <c r="T5" s="104"/>
      <c r="U5" s="103"/>
      <c r="V5" s="119">
        <v>1120</v>
      </c>
      <c r="W5" s="103">
        <v>1155</v>
      </c>
      <c r="X5" s="103">
        <f t="shared" si="12"/>
        <v>1137.5</v>
      </c>
      <c r="Y5" s="104">
        <f t="shared" si="2"/>
        <v>2.591116173120729</v>
      </c>
      <c r="Z5" s="103">
        <f t="shared" si="3"/>
        <v>400.5</v>
      </c>
      <c r="AA5" s="105">
        <f t="shared" si="4"/>
        <v>3.575892857142857</v>
      </c>
      <c r="AB5" s="104">
        <v>52</v>
      </c>
      <c r="AC5" s="106">
        <f t="shared" si="13"/>
        <v>5.6892208700000015</v>
      </c>
      <c r="AD5" s="118">
        <v>12.877</v>
      </c>
      <c r="AE5" s="105">
        <f t="shared" si="14"/>
        <v>1.1320439560439561</v>
      </c>
      <c r="AF5" s="118">
        <v>0.333285</v>
      </c>
      <c r="AG5" s="118">
        <v>4.08712</v>
      </c>
      <c r="AH5" s="112">
        <v>37</v>
      </c>
      <c r="AI5" s="103">
        <v>1</v>
      </c>
      <c r="AJ5" s="103">
        <v>5</v>
      </c>
      <c r="AK5" s="112">
        <v>16</v>
      </c>
      <c r="AL5" s="112">
        <v>12</v>
      </c>
      <c r="AM5" s="105">
        <f t="shared" si="5"/>
        <v>192</v>
      </c>
      <c r="AN5" s="105">
        <f t="shared" si="6"/>
        <v>97.17100155279503</v>
      </c>
      <c r="AO5" s="104">
        <f t="shared" si="7"/>
        <v>86.41556916366076</v>
      </c>
      <c r="AP5" s="105">
        <f t="shared" si="8"/>
        <v>92.87154742368203</v>
      </c>
      <c r="AQ5" s="104">
        <f t="shared" si="9"/>
        <v>166.8212244897959</v>
      </c>
      <c r="AR5" s="105">
        <f t="shared" si="10"/>
        <v>111.11111111111111</v>
      </c>
      <c r="AS5" s="105">
        <f t="shared" si="11"/>
        <v>106.0015686455273</v>
      </c>
      <c r="AW5" s="107"/>
      <c r="AX5" s="108"/>
      <c r="AY5" s="108"/>
      <c r="AZ5" s="108"/>
      <c r="BA5" s="108"/>
      <c r="BB5" s="107"/>
      <c r="BC5" s="108"/>
      <c r="BD5" s="108"/>
      <c r="BE5" s="107"/>
      <c r="BF5" s="108"/>
      <c r="BG5" s="108"/>
      <c r="BH5" s="108"/>
      <c r="BI5" s="108"/>
      <c r="BJ5" s="108"/>
      <c r="BK5" s="107"/>
      <c r="BL5" s="108"/>
      <c r="BM5" s="108"/>
      <c r="BN5" s="108"/>
      <c r="BO5" s="107"/>
      <c r="BP5" s="108"/>
      <c r="BQ5" s="107"/>
      <c r="BR5" s="108"/>
      <c r="BS5" s="108"/>
      <c r="BT5" s="108"/>
      <c r="BU5" s="108"/>
      <c r="BV5" s="109"/>
      <c r="BW5" s="108"/>
      <c r="BX5" s="108"/>
    </row>
    <row r="6" spans="1:76" s="91" customFormat="1" ht="15">
      <c r="A6" s="91">
        <v>5</v>
      </c>
      <c r="B6" s="91" t="s">
        <v>55</v>
      </c>
      <c r="C6" s="91" t="s">
        <v>56</v>
      </c>
      <c r="D6" s="98" t="s">
        <v>67</v>
      </c>
      <c r="E6" s="99" t="s">
        <v>72</v>
      </c>
      <c r="F6" s="91" t="s">
        <v>134</v>
      </c>
      <c r="G6" s="100">
        <v>41583</v>
      </c>
      <c r="H6" s="100"/>
      <c r="I6" s="100">
        <v>41949</v>
      </c>
      <c r="J6" s="101">
        <v>42060</v>
      </c>
      <c r="K6" s="94" t="s">
        <v>116</v>
      </c>
      <c r="L6" s="95">
        <f t="shared" si="0"/>
        <v>477</v>
      </c>
      <c r="M6" s="95">
        <v>922</v>
      </c>
      <c r="N6" s="95">
        <v>976</v>
      </c>
      <c r="O6" s="95">
        <v>982</v>
      </c>
      <c r="P6" s="102">
        <f t="shared" si="1"/>
        <v>979</v>
      </c>
      <c r="Q6" s="103"/>
      <c r="R6" s="102"/>
      <c r="S6" s="103"/>
      <c r="T6" s="104"/>
      <c r="U6" s="103"/>
      <c r="V6" s="119">
        <v>1535</v>
      </c>
      <c r="W6" s="103">
        <v>1555</v>
      </c>
      <c r="X6" s="103">
        <f t="shared" si="12"/>
        <v>1545</v>
      </c>
      <c r="Y6" s="104">
        <f t="shared" si="2"/>
        <v>3.238993710691824</v>
      </c>
      <c r="Z6" s="103">
        <f t="shared" si="3"/>
        <v>566</v>
      </c>
      <c r="AA6" s="105">
        <f t="shared" si="4"/>
        <v>5.053571428571429</v>
      </c>
      <c r="AB6" s="105">
        <v>55</v>
      </c>
      <c r="AC6" s="106">
        <f t="shared" si="13"/>
        <v>6.833802230000002</v>
      </c>
      <c r="AD6" s="118">
        <v>16.4901</v>
      </c>
      <c r="AE6" s="105">
        <f t="shared" si="14"/>
        <v>1.0673203883495146</v>
      </c>
      <c r="AF6" s="118">
        <v>0.282045</v>
      </c>
      <c r="AG6" s="118">
        <v>3.29667</v>
      </c>
      <c r="AH6" s="106">
        <v>46</v>
      </c>
      <c r="AI6" s="103">
        <v>3</v>
      </c>
      <c r="AJ6" s="103">
        <v>7</v>
      </c>
      <c r="AK6" s="106">
        <v>16.5</v>
      </c>
      <c r="AL6" s="106">
        <v>12.5</v>
      </c>
      <c r="AM6" s="105">
        <f t="shared" si="5"/>
        <v>206.25</v>
      </c>
      <c r="AN6" s="105">
        <f t="shared" si="6"/>
        <v>137.3253105590062</v>
      </c>
      <c r="AO6" s="104">
        <f t="shared" si="7"/>
        <v>81.47483880530645</v>
      </c>
      <c r="AP6" s="105">
        <f t="shared" si="8"/>
        <v>116.09296454092559</v>
      </c>
      <c r="AQ6" s="104">
        <f t="shared" si="9"/>
        <v>134.55795918367346</v>
      </c>
      <c r="AR6" s="105">
        <f t="shared" si="10"/>
        <v>138.13813813813815</v>
      </c>
      <c r="AS6" s="105">
        <f t="shared" si="11"/>
        <v>121.57492705626342</v>
      </c>
      <c r="AW6" s="107"/>
      <c r="AX6" s="108"/>
      <c r="AY6" s="108"/>
      <c r="AZ6" s="108"/>
      <c r="BA6" s="108"/>
      <c r="BB6" s="107"/>
      <c r="BC6" s="108"/>
      <c r="BD6" s="108"/>
      <c r="BE6" s="95"/>
      <c r="BF6" s="108"/>
      <c r="BG6" s="108"/>
      <c r="BH6" s="108"/>
      <c r="BI6" s="108"/>
      <c r="BJ6" s="108"/>
      <c r="BK6" s="107"/>
      <c r="BL6" s="108"/>
      <c r="BM6" s="108"/>
      <c r="BN6" s="108"/>
      <c r="BO6" s="107"/>
      <c r="BP6" s="108"/>
      <c r="BQ6" s="107"/>
      <c r="BR6" s="108"/>
      <c r="BS6" s="108"/>
      <c r="BT6" s="108"/>
      <c r="BU6" s="108"/>
      <c r="BV6" s="109"/>
      <c r="BW6" s="108"/>
      <c r="BX6" s="108"/>
    </row>
    <row r="7" spans="1:76" s="98" customFormat="1" ht="15">
      <c r="A7" s="91">
        <v>6</v>
      </c>
      <c r="B7" s="91" t="s">
        <v>54</v>
      </c>
      <c r="C7" s="91" t="s">
        <v>41</v>
      </c>
      <c r="D7" s="98" t="s">
        <v>103</v>
      </c>
      <c r="E7" s="99" t="s">
        <v>73</v>
      </c>
      <c r="F7" s="91" t="s">
        <v>134</v>
      </c>
      <c r="G7" s="100">
        <v>41469</v>
      </c>
      <c r="H7" s="100"/>
      <c r="I7" s="100">
        <v>41949</v>
      </c>
      <c r="J7" s="101">
        <v>42060</v>
      </c>
      <c r="K7" s="94" t="s">
        <v>117</v>
      </c>
      <c r="L7" s="95">
        <f t="shared" si="0"/>
        <v>591</v>
      </c>
      <c r="M7" s="95">
        <v>1135</v>
      </c>
      <c r="N7" s="95">
        <v>1150</v>
      </c>
      <c r="O7" s="95">
        <v>1135</v>
      </c>
      <c r="P7" s="102">
        <f t="shared" si="1"/>
        <v>1142.5</v>
      </c>
      <c r="Q7" s="103"/>
      <c r="R7" s="102"/>
      <c r="S7" s="103"/>
      <c r="T7" s="104"/>
      <c r="U7" s="103"/>
      <c r="V7" s="119">
        <v>1500</v>
      </c>
      <c r="W7" s="102">
        <v>1505</v>
      </c>
      <c r="X7" s="103">
        <f t="shared" si="12"/>
        <v>1502.5</v>
      </c>
      <c r="Y7" s="104">
        <f t="shared" si="2"/>
        <v>2.542301184433164</v>
      </c>
      <c r="Z7" s="103">
        <f t="shared" si="3"/>
        <v>360</v>
      </c>
      <c r="AA7" s="105">
        <f t="shared" si="4"/>
        <v>3.2142857142857144</v>
      </c>
      <c r="AB7" s="105">
        <v>57</v>
      </c>
      <c r="AC7" s="106">
        <f t="shared" si="13"/>
        <v>7.013519570000001</v>
      </c>
      <c r="AD7" s="118">
        <v>17.3844</v>
      </c>
      <c r="AE7" s="105">
        <f t="shared" si="14"/>
        <v>1.1570316139767054</v>
      </c>
      <c r="AF7" s="118">
        <v>0.339227</v>
      </c>
      <c r="AG7" s="118">
        <v>3.01438</v>
      </c>
      <c r="AH7" s="106">
        <v>35</v>
      </c>
      <c r="AI7" s="103">
        <v>4</v>
      </c>
      <c r="AJ7" s="103">
        <v>7</v>
      </c>
      <c r="AK7" s="106">
        <v>17</v>
      </c>
      <c r="AL7" s="106">
        <v>13</v>
      </c>
      <c r="AM7" s="105">
        <f t="shared" si="5"/>
        <v>221</v>
      </c>
      <c r="AN7" s="105">
        <f t="shared" si="6"/>
        <v>87.34472049689441</v>
      </c>
      <c r="AO7" s="104">
        <f t="shared" si="7"/>
        <v>88.32302396768743</v>
      </c>
      <c r="AP7" s="105">
        <f t="shared" si="8"/>
        <v>91.12190625208473</v>
      </c>
      <c r="AQ7" s="104">
        <f t="shared" si="9"/>
        <v>123.03591836734694</v>
      </c>
      <c r="AR7" s="105">
        <f t="shared" si="10"/>
        <v>105.10510510510511</v>
      </c>
      <c r="AS7" s="105">
        <f t="shared" si="11"/>
        <v>95.42553648348003</v>
      </c>
      <c r="AT7" s="91"/>
      <c r="AU7" s="91"/>
      <c r="AV7" s="91"/>
      <c r="AW7" s="107"/>
      <c r="AX7" s="108"/>
      <c r="AY7" s="108"/>
      <c r="AZ7" s="108"/>
      <c r="BA7" s="108"/>
      <c r="BB7" s="107"/>
      <c r="BC7" s="108"/>
      <c r="BD7" s="108"/>
      <c r="BE7" s="107"/>
      <c r="BF7" s="108"/>
      <c r="BG7" s="108"/>
      <c r="BH7" s="108"/>
      <c r="BI7" s="108"/>
      <c r="BJ7" s="108"/>
      <c r="BK7" s="107"/>
      <c r="BL7" s="108"/>
      <c r="BM7" s="108"/>
      <c r="BN7" s="108"/>
      <c r="BO7" s="107"/>
      <c r="BP7" s="108"/>
      <c r="BQ7" s="107"/>
      <c r="BR7" s="108"/>
      <c r="BS7" s="108"/>
      <c r="BT7" s="108"/>
      <c r="BU7" s="108"/>
      <c r="BV7" s="109"/>
      <c r="BW7" s="108"/>
      <c r="BX7" s="108"/>
    </row>
    <row r="8" spans="1:76" s="91" customFormat="1" ht="15">
      <c r="A8" s="91">
        <v>7</v>
      </c>
      <c r="B8" s="91" t="s">
        <v>55</v>
      </c>
      <c r="C8" s="91" t="s">
        <v>56</v>
      </c>
      <c r="D8" s="98" t="s">
        <v>104</v>
      </c>
      <c r="E8" s="99" t="s">
        <v>74</v>
      </c>
      <c r="F8" s="91" t="s">
        <v>129</v>
      </c>
      <c r="G8" s="100">
        <v>41626</v>
      </c>
      <c r="H8" s="100"/>
      <c r="I8" s="100">
        <v>41949</v>
      </c>
      <c r="J8" s="101">
        <v>42060</v>
      </c>
      <c r="K8" s="94" t="s">
        <v>118</v>
      </c>
      <c r="L8" s="95">
        <f t="shared" si="0"/>
        <v>434</v>
      </c>
      <c r="M8" s="95">
        <v>798</v>
      </c>
      <c r="N8" s="95">
        <v>854</v>
      </c>
      <c r="O8" s="95">
        <v>844</v>
      </c>
      <c r="P8" s="102">
        <f t="shared" si="1"/>
        <v>849</v>
      </c>
      <c r="Q8" s="103"/>
      <c r="R8" s="102"/>
      <c r="S8" s="103"/>
      <c r="T8" s="104"/>
      <c r="U8" s="103"/>
      <c r="V8" s="119">
        <v>1275</v>
      </c>
      <c r="W8" s="102">
        <v>1305</v>
      </c>
      <c r="X8" s="103">
        <f t="shared" si="12"/>
        <v>1290</v>
      </c>
      <c r="Y8" s="104">
        <f t="shared" si="2"/>
        <v>2.9723502304147464</v>
      </c>
      <c r="Z8" s="103">
        <f t="shared" si="3"/>
        <v>441</v>
      </c>
      <c r="AA8" s="105">
        <f t="shared" si="4"/>
        <v>3.9375</v>
      </c>
      <c r="AB8" s="105">
        <v>52.5</v>
      </c>
      <c r="AC8" s="106">
        <f t="shared" si="13"/>
        <v>5.954458120000001</v>
      </c>
      <c r="AD8" s="118">
        <v>15.2245</v>
      </c>
      <c r="AE8" s="105">
        <f t="shared" si="14"/>
        <v>1.1801937984496125</v>
      </c>
      <c r="AF8" s="118">
        <v>0.298809</v>
      </c>
      <c r="AG8" s="118">
        <v>3.61478</v>
      </c>
      <c r="AH8" s="106">
        <v>37</v>
      </c>
      <c r="AI8" s="103">
        <v>2</v>
      </c>
      <c r="AJ8" s="103">
        <v>7</v>
      </c>
      <c r="AK8" s="106">
        <v>15</v>
      </c>
      <c r="AL8" s="106">
        <v>13</v>
      </c>
      <c r="AM8" s="105">
        <f t="shared" si="5"/>
        <v>195</v>
      </c>
      <c r="AN8" s="105">
        <f t="shared" si="6"/>
        <v>106.99728260869566</v>
      </c>
      <c r="AO8" s="104">
        <f t="shared" si="7"/>
        <v>90.09112965264217</v>
      </c>
      <c r="AP8" s="105">
        <f t="shared" si="8"/>
        <v>106.53585055249988</v>
      </c>
      <c r="AQ8" s="104">
        <f t="shared" si="9"/>
        <v>147.5420408163265</v>
      </c>
      <c r="AR8" s="105">
        <f t="shared" si="10"/>
        <v>111.11111111111111</v>
      </c>
      <c r="AS8" s="105">
        <f t="shared" si="11"/>
        <v>110.01686218763199</v>
      </c>
      <c r="AW8" s="107"/>
      <c r="AX8" s="108"/>
      <c r="AY8" s="108"/>
      <c r="AZ8" s="108"/>
      <c r="BA8" s="108"/>
      <c r="BB8" s="107"/>
      <c r="BC8" s="108"/>
      <c r="BD8" s="108"/>
      <c r="BE8" s="95"/>
      <c r="BF8" s="108"/>
      <c r="BG8" s="108"/>
      <c r="BH8" s="108"/>
      <c r="BI8" s="108"/>
      <c r="BJ8" s="108"/>
      <c r="BK8" s="107"/>
      <c r="BL8" s="108"/>
      <c r="BM8" s="108"/>
      <c r="BN8" s="108"/>
      <c r="BO8" s="107"/>
      <c r="BP8" s="108"/>
      <c r="BQ8" s="107"/>
      <c r="BR8" s="108"/>
      <c r="BS8" s="108"/>
      <c r="BT8" s="108"/>
      <c r="BU8" s="108"/>
      <c r="BV8" s="109"/>
      <c r="BW8" s="108"/>
      <c r="BX8" s="108"/>
    </row>
    <row r="9" spans="1:76" s="98" customFormat="1" ht="15">
      <c r="A9" s="91">
        <v>8</v>
      </c>
      <c r="B9" s="91" t="s">
        <v>34</v>
      </c>
      <c r="C9" s="91" t="s">
        <v>60</v>
      </c>
      <c r="D9" s="98" t="s">
        <v>105</v>
      </c>
      <c r="E9" s="99" t="s">
        <v>75</v>
      </c>
      <c r="F9" s="91" t="s">
        <v>64</v>
      </c>
      <c r="G9" s="100">
        <v>41695</v>
      </c>
      <c r="H9" s="100"/>
      <c r="I9" s="100">
        <v>41949</v>
      </c>
      <c r="J9" s="101">
        <v>42060</v>
      </c>
      <c r="K9" s="94" t="s">
        <v>119</v>
      </c>
      <c r="L9" s="95">
        <f t="shared" si="0"/>
        <v>365</v>
      </c>
      <c r="M9" s="95">
        <v>626</v>
      </c>
      <c r="N9" s="95">
        <v>678</v>
      </c>
      <c r="O9" s="95">
        <v>674</v>
      </c>
      <c r="P9" s="102">
        <f t="shared" si="1"/>
        <v>676</v>
      </c>
      <c r="Q9" s="103"/>
      <c r="R9" s="102"/>
      <c r="S9" s="103"/>
      <c r="T9" s="104"/>
      <c r="U9" s="103"/>
      <c r="V9" s="119">
        <v>994</v>
      </c>
      <c r="W9" s="102">
        <v>998</v>
      </c>
      <c r="X9" s="103">
        <f t="shared" si="12"/>
        <v>996</v>
      </c>
      <c r="Y9" s="104">
        <f t="shared" si="2"/>
        <v>2.728767123287671</v>
      </c>
      <c r="Z9" s="103">
        <f t="shared" si="3"/>
        <v>320</v>
      </c>
      <c r="AA9" s="105">
        <f t="shared" si="4"/>
        <v>2.857142857142857</v>
      </c>
      <c r="AB9" s="105">
        <v>53</v>
      </c>
      <c r="AC9" s="106">
        <f t="shared" si="13"/>
        <v>6.960340750000001</v>
      </c>
      <c r="AD9" s="118">
        <v>11.4438</v>
      </c>
      <c r="AE9" s="105">
        <f t="shared" si="14"/>
        <v>1.1489759036144578</v>
      </c>
      <c r="AF9" s="118">
        <v>0.176797</v>
      </c>
      <c r="AG9" s="118">
        <v>3.61646</v>
      </c>
      <c r="AH9" s="106">
        <v>32</v>
      </c>
      <c r="AI9" s="103">
        <v>5</v>
      </c>
      <c r="AJ9" s="103">
        <v>6</v>
      </c>
      <c r="AK9" s="106">
        <v>15.5</v>
      </c>
      <c r="AL9" s="106">
        <v>12.5</v>
      </c>
      <c r="AM9" s="105">
        <f t="shared" si="5"/>
        <v>193.75</v>
      </c>
      <c r="AN9" s="105">
        <f t="shared" si="6"/>
        <v>77.63975155279503</v>
      </c>
      <c r="AO9" s="104">
        <f t="shared" si="7"/>
        <v>87.70808424537844</v>
      </c>
      <c r="AP9" s="105">
        <f t="shared" si="8"/>
        <v>97.80527323611724</v>
      </c>
      <c r="AQ9" s="104">
        <f t="shared" si="9"/>
        <v>147.61061224489796</v>
      </c>
      <c r="AR9" s="105">
        <f t="shared" si="10"/>
        <v>96.0960960960961</v>
      </c>
      <c r="AS9" s="105">
        <f t="shared" si="11"/>
        <v>96.0277859861217</v>
      </c>
      <c r="AT9" s="91"/>
      <c r="AU9" s="91"/>
      <c r="AV9" s="91"/>
      <c r="AW9" s="107"/>
      <c r="AX9" s="108"/>
      <c r="AY9" s="108"/>
      <c r="AZ9" s="108"/>
      <c r="BA9" s="108"/>
      <c r="BB9" s="107"/>
      <c r="BC9" s="108"/>
      <c r="BD9" s="108"/>
      <c r="BE9" s="107"/>
      <c r="BF9" s="108"/>
      <c r="BG9" s="108"/>
      <c r="BH9" s="108"/>
      <c r="BI9" s="108"/>
      <c r="BJ9" s="108"/>
      <c r="BK9" s="107"/>
      <c r="BL9" s="108"/>
      <c r="BM9" s="108"/>
      <c r="BN9" s="108"/>
      <c r="BO9" s="107"/>
      <c r="BP9" s="108"/>
      <c r="BQ9" s="107"/>
      <c r="BR9" s="108"/>
      <c r="BS9" s="108"/>
      <c r="BT9" s="108"/>
      <c r="BU9" s="108"/>
      <c r="BV9" s="109"/>
      <c r="BW9" s="108"/>
      <c r="BX9" s="108"/>
    </row>
    <row r="10" spans="1:76" s="98" customFormat="1" ht="15">
      <c r="A10" s="91">
        <v>9</v>
      </c>
      <c r="B10" s="91" t="s">
        <v>34</v>
      </c>
      <c r="C10" s="91" t="s">
        <v>60</v>
      </c>
      <c r="D10" s="98" t="s">
        <v>57</v>
      </c>
      <c r="E10" s="99" t="s">
        <v>76</v>
      </c>
      <c r="F10" s="91" t="s">
        <v>134</v>
      </c>
      <c r="G10" s="100">
        <v>41731</v>
      </c>
      <c r="H10" s="100"/>
      <c r="I10" s="100">
        <v>41949</v>
      </c>
      <c r="J10" s="101">
        <v>42060</v>
      </c>
      <c r="K10" s="94" t="s">
        <v>120</v>
      </c>
      <c r="L10" s="95">
        <f t="shared" si="0"/>
        <v>329</v>
      </c>
      <c r="M10" s="95">
        <v>854</v>
      </c>
      <c r="N10" s="95">
        <v>716</v>
      </c>
      <c r="O10" s="95">
        <v>720</v>
      </c>
      <c r="P10" s="102">
        <f t="shared" si="1"/>
        <v>718</v>
      </c>
      <c r="Q10" s="103"/>
      <c r="R10" s="102"/>
      <c r="S10" s="103"/>
      <c r="T10" s="104"/>
      <c r="U10" s="103"/>
      <c r="V10" s="119">
        <v>1010</v>
      </c>
      <c r="W10" s="102">
        <v>1015</v>
      </c>
      <c r="X10" s="103">
        <f t="shared" si="12"/>
        <v>1012.5</v>
      </c>
      <c r="Y10" s="104">
        <f t="shared" si="2"/>
        <v>3.0775075987841944</v>
      </c>
      <c r="Z10" s="103">
        <f t="shared" si="3"/>
        <v>294.5</v>
      </c>
      <c r="AA10" s="105">
        <f t="shared" si="4"/>
        <v>2.6294642857142856</v>
      </c>
      <c r="AB10" s="104">
        <v>50</v>
      </c>
      <c r="AC10" s="106">
        <f t="shared" si="13"/>
        <v>6.001770870000001</v>
      </c>
      <c r="AD10" s="118">
        <v>10.9118</v>
      </c>
      <c r="AE10" s="105">
        <f t="shared" si="14"/>
        <v>1.0777086419753086</v>
      </c>
      <c r="AF10" s="118">
        <v>0.219437</v>
      </c>
      <c r="AG10" s="118">
        <v>3.59388</v>
      </c>
      <c r="AH10" s="106">
        <v>32</v>
      </c>
      <c r="AI10" s="103">
        <v>3</v>
      </c>
      <c r="AJ10" s="103">
        <v>6</v>
      </c>
      <c r="AK10" s="106">
        <v>16</v>
      </c>
      <c r="AL10" s="106">
        <v>12</v>
      </c>
      <c r="AM10" s="105">
        <f t="shared" si="5"/>
        <v>192</v>
      </c>
      <c r="AN10" s="105">
        <f t="shared" si="6"/>
        <v>71.45283385093167</v>
      </c>
      <c r="AO10" s="104">
        <f t="shared" si="7"/>
        <v>82.26783526529073</v>
      </c>
      <c r="AP10" s="105">
        <f t="shared" si="8"/>
        <v>110.30493185606431</v>
      </c>
      <c r="AQ10" s="104">
        <f t="shared" si="9"/>
        <v>146.68897959183673</v>
      </c>
      <c r="AR10" s="105">
        <f t="shared" si="10"/>
        <v>96.0960960960961</v>
      </c>
      <c r="AS10" s="105">
        <f t="shared" si="11"/>
        <v>95.1360018204822</v>
      </c>
      <c r="AT10" s="91"/>
      <c r="AU10" s="91"/>
      <c r="AV10" s="91"/>
      <c r="AW10" s="107"/>
      <c r="AX10" s="108"/>
      <c r="AY10" s="108"/>
      <c r="AZ10" s="108"/>
      <c r="BA10" s="108"/>
      <c r="BB10" s="107"/>
      <c r="BC10" s="108"/>
      <c r="BD10" s="108"/>
      <c r="BE10" s="95"/>
      <c r="BF10" s="108"/>
      <c r="BG10" s="108"/>
      <c r="BH10" s="108"/>
      <c r="BI10" s="108"/>
      <c r="BJ10" s="108"/>
      <c r="BK10" s="107"/>
      <c r="BL10" s="108"/>
      <c r="BM10" s="108"/>
      <c r="BN10" s="108"/>
      <c r="BO10" s="107"/>
      <c r="BP10" s="108"/>
      <c r="BQ10" s="107"/>
      <c r="BR10" s="108"/>
      <c r="BS10" s="108"/>
      <c r="BT10" s="108"/>
      <c r="BU10" s="108"/>
      <c r="BV10" s="109"/>
      <c r="BW10" s="108"/>
      <c r="BX10" s="108"/>
    </row>
    <row r="11" spans="1:76" s="98" customFormat="1" ht="15">
      <c r="A11" s="91">
        <v>10</v>
      </c>
      <c r="B11" s="91" t="s">
        <v>34</v>
      </c>
      <c r="C11" s="91" t="s">
        <v>60</v>
      </c>
      <c r="D11" s="98" t="s">
        <v>57</v>
      </c>
      <c r="E11" s="99" t="s">
        <v>77</v>
      </c>
      <c r="F11" s="91" t="s">
        <v>134</v>
      </c>
      <c r="G11" s="100">
        <v>41712</v>
      </c>
      <c r="H11" s="100"/>
      <c r="I11" s="100">
        <v>41949</v>
      </c>
      <c r="J11" s="101">
        <v>42060</v>
      </c>
      <c r="K11" s="94" t="s">
        <v>120</v>
      </c>
      <c r="L11" s="95">
        <f t="shared" si="0"/>
        <v>348</v>
      </c>
      <c r="M11" s="95">
        <v>662</v>
      </c>
      <c r="N11" s="95">
        <v>686</v>
      </c>
      <c r="O11" s="95">
        <v>680</v>
      </c>
      <c r="P11" s="102">
        <f t="shared" si="1"/>
        <v>683</v>
      </c>
      <c r="Q11" s="103"/>
      <c r="R11" s="102"/>
      <c r="S11" s="103"/>
      <c r="T11" s="104"/>
      <c r="U11" s="103"/>
      <c r="V11" s="119">
        <v>1050</v>
      </c>
      <c r="W11" s="102">
        <v>1055</v>
      </c>
      <c r="X11" s="103">
        <f t="shared" si="12"/>
        <v>1052.5</v>
      </c>
      <c r="Y11" s="104">
        <f t="shared" si="2"/>
        <v>3.0244252873563218</v>
      </c>
      <c r="Z11" s="103">
        <f t="shared" si="3"/>
        <v>369.5</v>
      </c>
      <c r="AA11" s="105">
        <f t="shared" si="4"/>
        <v>3.299107142857143</v>
      </c>
      <c r="AB11" s="105">
        <v>51</v>
      </c>
      <c r="AC11" s="106">
        <f t="shared" si="13"/>
        <v>6.25814768</v>
      </c>
      <c r="AD11" s="118">
        <v>10.5249</v>
      </c>
      <c r="AE11" s="105">
        <f t="shared" si="14"/>
        <v>0.9999904988123516</v>
      </c>
      <c r="AF11" s="118">
        <v>0.247985</v>
      </c>
      <c r="AG11" s="118">
        <v>3.37674</v>
      </c>
      <c r="AH11" s="106">
        <v>30</v>
      </c>
      <c r="AI11" s="103">
        <v>3</v>
      </c>
      <c r="AJ11" s="103">
        <v>6</v>
      </c>
      <c r="AK11" s="106">
        <v>16</v>
      </c>
      <c r="AL11" s="106">
        <v>11</v>
      </c>
      <c r="AM11" s="105">
        <f t="shared" si="5"/>
        <v>176</v>
      </c>
      <c r="AN11" s="105">
        <f t="shared" si="6"/>
        <v>89.649650621118</v>
      </c>
      <c r="AO11" s="104">
        <f t="shared" si="7"/>
        <v>76.33515258109553</v>
      </c>
      <c r="AP11" s="105">
        <f t="shared" si="8"/>
        <v>108.4023400486137</v>
      </c>
      <c r="AQ11" s="104">
        <f t="shared" si="9"/>
        <v>137.8261224489796</v>
      </c>
      <c r="AR11" s="105">
        <f t="shared" si="10"/>
        <v>90.0900900900901</v>
      </c>
      <c r="AS11" s="105">
        <f t="shared" si="11"/>
        <v>98.0078036196891</v>
      </c>
      <c r="AT11" s="91"/>
      <c r="AU11" s="91"/>
      <c r="AV11" s="91"/>
      <c r="AW11" s="107"/>
      <c r="AX11" s="108"/>
      <c r="AY11" s="108"/>
      <c r="AZ11" s="108"/>
      <c r="BA11" s="108"/>
      <c r="BB11" s="107"/>
      <c r="BC11" s="108"/>
      <c r="BD11" s="108"/>
      <c r="BE11" s="107"/>
      <c r="BF11" s="108"/>
      <c r="BG11" s="108"/>
      <c r="BH11" s="108"/>
      <c r="BI11" s="108"/>
      <c r="BJ11" s="108"/>
      <c r="BK11" s="107"/>
      <c r="BL11" s="108"/>
      <c r="BM11" s="108"/>
      <c r="BN11" s="108"/>
      <c r="BO11" s="107"/>
      <c r="BP11" s="108"/>
      <c r="BQ11" s="107"/>
      <c r="BR11" s="108"/>
      <c r="BS11" s="108"/>
      <c r="BT11" s="108"/>
      <c r="BU11" s="108"/>
      <c r="BV11" s="109"/>
      <c r="BW11" s="108"/>
      <c r="BX11" s="108"/>
    </row>
    <row r="12" spans="1:76" s="91" customFormat="1" ht="15">
      <c r="A12" s="91">
        <v>11</v>
      </c>
      <c r="B12" s="91" t="s">
        <v>55</v>
      </c>
      <c r="C12" s="91" t="s">
        <v>56</v>
      </c>
      <c r="D12" s="98" t="s">
        <v>57</v>
      </c>
      <c r="E12" s="99" t="s">
        <v>78</v>
      </c>
      <c r="F12" s="91" t="s">
        <v>134</v>
      </c>
      <c r="G12" s="100">
        <v>41630</v>
      </c>
      <c r="H12" s="100"/>
      <c r="I12" s="100">
        <v>41949</v>
      </c>
      <c r="J12" s="101">
        <v>42060</v>
      </c>
      <c r="K12" s="94" t="s">
        <v>120</v>
      </c>
      <c r="L12" s="95">
        <f t="shared" si="0"/>
        <v>430</v>
      </c>
      <c r="M12" s="95">
        <v>804</v>
      </c>
      <c r="N12" s="95">
        <v>832</v>
      </c>
      <c r="O12" s="95">
        <v>840</v>
      </c>
      <c r="P12" s="102">
        <f t="shared" si="1"/>
        <v>836</v>
      </c>
      <c r="Q12" s="103"/>
      <c r="R12" s="102"/>
      <c r="S12" s="103"/>
      <c r="T12" s="104"/>
      <c r="U12" s="103"/>
      <c r="V12" s="119">
        <v>1195</v>
      </c>
      <c r="W12" s="102">
        <v>1210</v>
      </c>
      <c r="X12" s="103">
        <f t="shared" si="12"/>
        <v>1202.5</v>
      </c>
      <c r="Y12" s="104">
        <f t="shared" si="2"/>
        <v>2.796511627906977</v>
      </c>
      <c r="Z12" s="103">
        <f t="shared" si="3"/>
        <v>366.5</v>
      </c>
      <c r="AA12" s="105">
        <f t="shared" si="4"/>
        <v>3.2723214285714284</v>
      </c>
      <c r="AB12" s="105">
        <v>54</v>
      </c>
      <c r="AC12" s="106">
        <f t="shared" si="13"/>
        <v>6.662760000000002</v>
      </c>
      <c r="AD12" s="118">
        <v>13.168</v>
      </c>
      <c r="AE12" s="105">
        <f t="shared" si="14"/>
        <v>1.095051975051975</v>
      </c>
      <c r="AF12" s="118">
        <v>0.19851</v>
      </c>
      <c r="AG12" s="118">
        <v>3.46571</v>
      </c>
      <c r="AH12" s="106">
        <v>42</v>
      </c>
      <c r="AI12" s="103">
        <v>3</v>
      </c>
      <c r="AJ12" s="103">
        <v>6</v>
      </c>
      <c r="AK12" s="106">
        <v>16</v>
      </c>
      <c r="AL12" s="106">
        <v>13</v>
      </c>
      <c r="AM12" s="105">
        <f t="shared" si="5"/>
        <v>208</v>
      </c>
      <c r="AN12" s="105">
        <f t="shared" si="6"/>
        <v>88.92177795031056</v>
      </c>
      <c r="AO12" s="104">
        <f t="shared" si="7"/>
        <v>83.59175382076144</v>
      </c>
      <c r="AP12" s="105">
        <f t="shared" si="8"/>
        <v>100.23339168125365</v>
      </c>
      <c r="AQ12" s="104">
        <f t="shared" si="9"/>
        <v>141.45755102040815</v>
      </c>
      <c r="AR12" s="105">
        <f t="shared" si="10"/>
        <v>126.12612612612615</v>
      </c>
      <c r="AS12" s="105">
        <f t="shared" si="11"/>
        <v>101.71889664868556</v>
      </c>
      <c r="AW12" s="107"/>
      <c r="AX12" s="108"/>
      <c r="AY12" s="108"/>
      <c r="AZ12" s="108"/>
      <c r="BA12" s="108"/>
      <c r="BB12" s="107"/>
      <c r="BC12" s="108"/>
      <c r="BD12" s="108"/>
      <c r="BE12" s="95"/>
      <c r="BF12" s="108"/>
      <c r="BG12" s="108"/>
      <c r="BH12" s="108"/>
      <c r="BI12" s="108"/>
      <c r="BJ12" s="108"/>
      <c r="BK12" s="107"/>
      <c r="BL12" s="108"/>
      <c r="BM12" s="108"/>
      <c r="BN12" s="108"/>
      <c r="BO12" s="107"/>
      <c r="BP12" s="108"/>
      <c r="BQ12" s="107"/>
      <c r="BR12" s="108"/>
      <c r="BS12" s="108"/>
      <c r="BT12" s="108"/>
      <c r="BU12" s="108"/>
      <c r="BV12" s="109"/>
      <c r="BW12" s="108"/>
      <c r="BX12" s="108"/>
    </row>
    <row r="13" spans="1:76" s="91" customFormat="1" ht="15">
      <c r="A13" s="91">
        <v>12</v>
      </c>
      <c r="B13" s="91" t="s">
        <v>34</v>
      </c>
      <c r="C13" s="91" t="s">
        <v>60</v>
      </c>
      <c r="D13" s="91" t="s">
        <v>65</v>
      </c>
      <c r="E13" s="99" t="s">
        <v>79</v>
      </c>
      <c r="F13" s="91" t="s">
        <v>136</v>
      </c>
      <c r="G13" s="100">
        <v>41749</v>
      </c>
      <c r="H13" s="100"/>
      <c r="I13" s="100">
        <v>41949</v>
      </c>
      <c r="J13" s="101">
        <v>42060</v>
      </c>
      <c r="K13" s="94" t="s">
        <v>121</v>
      </c>
      <c r="L13" s="95">
        <f t="shared" si="0"/>
        <v>311</v>
      </c>
      <c r="M13" s="95">
        <v>558</v>
      </c>
      <c r="N13" s="95">
        <v>570</v>
      </c>
      <c r="O13" s="95">
        <v>562</v>
      </c>
      <c r="P13" s="102">
        <f t="shared" si="1"/>
        <v>566</v>
      </c>
      <c r="Q13" s="103"/>
      <c r="R13" s="102"/>
      <c r="S13" s="103"/>
      <c r="T13" s="104"/>
      <c r="U13" s="103"/>
      <c r="V13" s="119">
        <v>780</v>
      </c>
      <c r="W13" s="102">
        <v>794</v>
      </c>
      <c r="X13" s="103">
        <f t="shared" si="12"/>
        <v>787</v>
      </c>
      <c r="Y13" s="104">
        <f t="shared" si="2"/>
        <v>2.530546623794212</v>
      </c>
      <c r="Z13" s="103">
        <f t="shared" si="3"/>
        <v>221</v>
      </c>
      <c r="AA13" s="105">
        <f t="shared" si="4"/>
        <v>1.9732142857142858</v>
      </c>
      <c r="AB13" s="105">
        <v>48.5</v>
      </c>
      <c r="AC13" s="106">
        <f t="shared" si="13"/>
        <v>5.545702670000001</v>
      </c>
      <c r="AD13" s="118">
        <v>8.44638</v>
      </c>
      <c r="AE13" s="105">
        <f t="shared" si="14"/>
        <v>1.0732376111817026</v>
      </c>
      <c r="AF13" s="118">
        <v>0.108338</v>
      </c>
      <c r="AG13" s="118">
        <v>3.32935</v>
      </c>
      <c r="AH13" s="106">
        <v>27</v>
      </c>
      <c r="AI13" s="103">
        <v>3</v>
      </c>
      <c r="AJ13" s="103">
        <v>5</v>
      </c>
      <c r="AK13" s="106">
        <v>14</v>
      </c>
      <c r="AL13" s="106">
        <v>11</v>
      </c>
      <c r="AM13" s="105">
        <f t="shared" si="5"/>
        <v>154</v>
      </c>
      <c r="AN13" s="105">
        <f t="shared" si="6"/>
        <v>53.619953416149066</v>
      </c>
      <c r="AO13" s="104">
        <f t="shared" si="7"/>
        <v>81.92653520471012</v>
      </c>
      <c r="AP13" s="105">
        <f t="shared" si="8"/>
        <v>90.70059583491799</v>
      </c>
      <c r="AQ13" s="104">
        <f t="shared" si="9"/>
        <v>135.89183673469384</v>
      </c>
      <c r="AR13" s="105">
        <f t="shared" si="10"/>
        <v>81.08108108108108</v>
      </c>
      <c r="AS13" s="105">
        <f t="shared" si="11"/>
        <v>81.78429352188998</v>
      </c>
      <c r="AW13" s="95"/>
      <c r="BA13" s="113"/>
      <c r="BB13" s="95"/>
      <c r="BC13" s="113"/>
      <c r="BD13" s="113"/>
      <c r="BE13" s="95"/>
      <c r="BF13" s="95"/>
      <c r="BJ13" s="113"/>
      <c r="BK13" s="95"/>
      <c r="BL13" s="113"/>
      <c r="BM13" s="113"/>
      <c r="BR13" s="113"/>
      <c r="BV13" s="97"/>
      <c r="BW13" s="113"/>
      <c r="BX13" s="113"/>
    </row>
    <row r="14" spans="1:76" s="91" customFormat="1" ht="15">
      <c r="A14" s="91">
        <v>13</v>
      </c>
      <c r="B14" s="91" t="s">
        <v>54</v>
      </c>
      <c r="C14" s="91" t="s">
        <v>41</v>
      </c>
      <c r="D14" s="91" t="s">
        <v>65</v>
      </c>
      <c r="E14" s="99" t="s">
        <v>80</v>
      </c>
      <c r="F14" s="91" t="s">
        <v>62</v>
      </c>
      <c r="G14" s="100">
        <v>41563</v>
      </c>
      <c r="H14" s="100"/>
      <c r="I14" s="100">
        <v>41949</v>
      </c>
      <c r="J14" s="101">
        <v>42060</v>
      </c>
      <c r="K14" s="94" t="s">
        <v>121</v>
      </c>
      <c r="L14" s="95">
        <f t="shared" si="0"/>
        <v>497</v>
      </c>
      <c r="M14" s="95">
        <v>850</v>
      </c>
      <c r="N14" s="95">
        <v>948</v>
      </c>
      <c r="O14" s="95">
        <v>946</v>
      </c>
      <c r="P14" s="102">
        <f t="shared" si="1"/>
        <v>947</v>
      </c>
      <c r="Q14" s="103"/>
      <c r="R14" s="102"/>
      <c r="S14" s="103"/>
      <c r="T14" s="104"/>
      <c r="U14" s="103"/>
      <c r="V14" s="119">
        <v>1235</v>
      </c>
      <c r="W14" s="102">
        <v>1230</v>
      </c>
      <c r="X14" s="103">
        <f t="shared" si="12"/>
        <v>1232.5</v>
      </c>
      <c r="Y14" s="104">
        <f t="shared" si="2"/>
        <v>2.4798792756539236</v>
      </c>
      <c r="Z14" s="103">
        <f t="shared" si="3"/>
        <v>285.5</v>
      </c>
      <c r="AA14" s="105">
        <f t="shared" si="4"/>
        <v>2.549107142857143</v>
      </c>
      <c r="AB14" s="105">
        <v>52</v>
      </c>
      <c r="AC14" s="106">
        <f t="shared" si="13"/>
        <v>5.143354630000002</v>
      </c>
      <c r="AD14" s="118">
        <v>13.1583</v>
      </c>
      <c r="AE14" s="105">
        <f t="shared" si="14"/>
        <v>1.0676105476673428</v>
      </c>
      <c r="AF14" s="118">
        <v>0.22118</v>
      </c>
      <c r="AG14" s="118">
        <v>3.53329</v>
      </c>
      <c r="AH14" s="106">
        <v>34</v>
      </c>
      <c r="AI14" s="103">
        <v>3</v>
      </c>
      <c r="AJ14" s="103">
        <v>7</v>
      </c>
      <c r="AK14" s="106">
        <v>14</v>
      </c>
      <c r="AL14" s="106">
        <v>10</v>
      </c>
      <c r="AM14" s="105">
        <f t="shared" si="5"/>
        <v>140</v>
      </c>
      <c r="AN14" s="105">
        <f t="shared" si="6"/>
        <v>69.26921583850931</v>
      </c>
      <c r="AO14" s="104">
        <f t="shared" si="7"/>
        <v>81.49698837155287</v>
      </c>
      <c r="AP14" s="105">
        <f t="shared" si="8"/>
        <v>88.88456185139512</v>
      </c>
      <c r="AQ14" s="104">
        <f t="shared" si="9"/>
        <v>144.21591836734692</v>
      </c>
      <c r="AR14" s="105">
        <f t="shared" si="10"/>
        <v>102.10210210210211</v>
      </c>
      <c r="AS14" s="105">
        <f t="shared" si="11"/>
        <v>90.16313355338009</v>
      </c>
      <c r="AW14" s="95"/>
      <c r="BA14" s="113"/>
      <c r="BB14" s="95"/>
      <c r="BC14" s="113"/>
      <c r="BD14" s="113"/>
      <c r="BE14" s="95"/>
      <c r="BF14" s="95"/>
      <c r="BJ14" s="113"/>
      <c r="BK14" s="95"/>
      <c r="BL14" s="113"/>
      <c r="BM14" s="113"/>
      <c r="BR14" s="113"/>
      <c r="BV14" s="97"/>
      <c r="BW14" s="113"/>
      <c r="BX14" s="113"/>
    </row>
    <row r="15" spans="1:76" s="91" customFormat="1" ht="15">
      <c r="A15" s="91">
        <v>14</v>
      </c>
      <c r="B15" s="91" t="s">
        <v>34</v>
      </c>
      <c r="C15" s="91" t="s">
        <v>60</v>
      </c>
      <c r="D15" s="98" t="s">
        <v>63</v>
      </c>
      <c r="E15" s="99" t="s">
        <v>81</v>
      </c>
      <c r="F15" s="91" t="s">
        <v>134</v>
      </c>
      <c r="G15" s="100">
        <v>41697</v>
      </c>
      <c r="H15" s="100"/>
      <c r="I15" s="100">
        <v>41949</v>
      </c>
      <c r="J15" s="101">
        <v>42060</v>
      </c>
      <c r="K15" s="94" t="s">
        <v>122</v>
      </c>
      <c r="L15" s="95">
        <f t="shared" si="0"/>
        <v>363</v>
      </c>
      <c r="M15" s="95">
        <v>766</v>
      </c>
      <c r="N15" s="95">
        <v>772</v>
      </c>
      <c r="O15" s="95">
        <v>754</v>
      </c>
      <c r="P15" s="102">
        <f t="shared" si="1"/>
        <v>763</v>
      </c>
      <c r="Q15" s="103"/>
      <c r="R15" s="102"/>
      <c r="S15" s="103"/>
      <c r="T15" s="104"/>
      <c r="U15" s="103"/>
      <c r="V15" s="119">
        <v>1210</v>
      </c>
      <c r="W15" s="102">
        <v>1225</v>
      </c>
      <c r="X15" s="103">
        <f t="shared" si="12"/>
        <v>1217.5</v>
      </c>
      <c r="Y15" s="104">
        <f t="shared" si="2"/>
        <v>3.3539944903581267</v>
      </c>
      <c r="Z15" s="103">
        <f t="shared" si="3"/>
        <v>454.5</v>
      </c>
      <c r="AA15" s="105">
        <f t="shared" si="4"/>
        <v>4.058035714285714</v>
      </c>
      <c r="AB15" s="105">
        <v>53</v>
      </c>
      <c r="AC15" s="106">
        <f t="shared" si="13"/>
        <v>6.992514530000001</v>
      </c>
      <c r="AD15" s="118">
        <v>12.8478</v>
      </c>
      <c r="AE15" s="105">
        <f t="shared" si="14"/>
        <v>1.0552607802874743</v>
      </c>
      <c r="AF15" s="118">
        <v>0.213503</v>
      </c>
      <c r="AG15" s="118">
        <v>3.34515</v>
      </c>
      <c r="AH15" s="112">
        <v>40</v>
      </c>
      <c r="AI15" s="103">
        <v>3</v>
      </c>
      <c r="AJ15" s="103">
        <v>6</v>
      </c>
      <c r="AK15" s="112">
        <v>16</v>
      </c>
      <c r="AL15" s="112">
        <v>12</v>
      </c>
      <c r="AM15" s="105">
        <f t="shared" si="5"/>
        <v>192</v>
      </c>
      <c r="AN15" s="105">
        <f t="shared" si="6"/>
        <v>110.2727096273292</v>
      </c>
      <c r="AO15" s="104">
        <f t="shared" si="7"/>
        <v>80.55425803721178</v>
      </c>
      <c r="AP15" s="105">
        <f t="shared" si="8"/>
        <v>120.21485628523752</v>
      </c>
      <c r="AQ15" s="104">
        <f t="shared" si="9"/>
        <v>136.53673469387752</v>
      </c>
      <c r="AR15" s="105">
        <f t="shared" si="10"/>
        <v>120.12012012012012</v>
      </c>
      <c r="AS15" s="105">
        <f t="shared" si="11"/>
        <v>111.2417934501487</v>
      </c>
      <c r="AW15" s="107"/>
      <c r="AX15" s="108"/>
      <c r="AY15" s="108"/>
      <c r="AZ15" s="108"/>
      <c r="BA15" s="108"/>
      <c r="BB15" s="107"/>
      <c r="BC15" s="108"/>
      <c r="BD15" s="108"/>
      <c r="BE15" s="107"/>
      <c r="BF15" s="108"/>
      <c r="BG15" s="108"/>
      <c r="BH15" s="108"/>
      <c r="BI15" s="108"/>
      <c r="BJ15" s="108"/>
      <c r="BK15" s="107"/>
      <c r="BL15" s="108"/>
      <c r="BM15" s="108"/>
      <c r="BN15" s="108"/>
      <c r="BO15" s="107"/>
      <c r="BP15" s="108"/>
      <c r="BQ15" s="107"/>
      <c r="BR15" s="108"/>
      <c r="BS15" s="108"/>
      <c r="BT15" s="108"/>
      <c r="BU15" s="108"/>
      <c r="BV15" s="109"/>
      <c r="BW15" s="108"/>
      <c r="BX15" s="108"/>
    </row>
    <row r="16" spans="1:76" s="91" customFormat="1" ht="15">
      <c r="A16" s="91">
        <v>15</v>
      </c>
      <c r="B16" s="91" t="s">
        <v>34</v>
      </c>
      <c r="C16" s="91" t="s">
        <v>60</v>
      </c>
      <c r="D16" s="98" t="s">
        <v>63</v>
      </c>
      <c r="E16" s="99" t="s">
        <v>82</v>
      </c>
      <c r="F16" s="91" t="s">
        <v>134</v>
      </c>
      <c r="G16" s="114">
        <v>41730</v>
      </c>
      <c r="H16" s="100"/>
      <c r="I16" s="100">
        <v>41949</v>
      </c>
      <c r="J16" s="101">
        <v>42060</v>
      </c>
      <c r="K16" s="94" t="s">
        <v>122</v>
      </c>
      <c r="L16" s="95">
        <f t="shared" si="0"/>
        <v>330</v>
      </c>
      <c r="M16" s="95">
        <v>684</v>
      </c>
      <c r="N16" s="95">
        <v>726</v>
      </c>
      <c r="O16" s="95">
        <v>716</v>
      </c>
      <c r="P16" s="102">
        <f t="shared" si="1"/>
        <v>721</v>
      </c>
      <c r="Q16" s="103"/>
      <c r="R16" s="102"/>
      <c r="S16" s="103"/>
      <c r="T16" s="104"/>
      <c r="U16" s="103"/>
      <c r="V16" s="119">
        <v>1065</v>
      </c>
      <c r="W16" s="103">
        <v>1070</v>
      </c>
      <c r="X16" s="103">
        <f t="shared" si="12"/>
        <v>1067.5</v>
      </c>
      <c r="Y16" s="104">
        <f t="shared" si="2"/>
        <v>3.234848484848485</v>
      </c>
      <c r="Z16" s="103">
        <f t="shared" si="3"/>
        <v>346.5</v>
      </c>
      <c r="AA16" s="105">
        <f t="shared" si="4"/>
        <v>3.09375</v>
      </c>
      <c r="AB16" s="104">
        <v>50.5</v>
      </c>
      <c r="AC16" s="106">
        <f t="shared" si="13"/>
        <v>6.209261000000002</v>
      </c>
      <c r="AD16" s="118">
        <v>12.7735</v>
      </c>
      <c r="AE16" s="105">
        <f t="shared" si="14"/>
        <v>1.1965807962529273</v>
      </c>
      <c r="AF16" s="118">
        <v>0.134977</v>
      </c>
      <c r="AG16" s="118">
        <v>3.43128</v>
      </c>
      <c r="AH16" s="112">
        <v>37</v>
      </c>
      <c r="AI16" s="103">
        <v>4</v>
      </c>
      <c r="AJ16" s="103">
        <v>6</v>
      </c>
      <c r="AK16" s="112">
        <v>15</v>
      </c>
      <c r="AL16" s="112">
        <v>12</v>
      </c>
      <c r="AM16" s="105">
        <f t="shared" si="5"/>
        <v>180</v>
      </c>
      <c r="AN16" s="105">
        <f t="shared" si="6"/>
        <v>84.06929347826086</v>
      </c>
      <c r="AO16" s="104">
        <f t="shared" si="7"/>
        <v>91.34204551549064</v>
      </c>
      <c r="AP16" s="105">
        <f t="shared" si="8"/>
        <v>115.94439013793851</v>
      </c>
      <c r="AQ16" s="104">
        <f t="shared" si="9"/>
        <v>140.05224489795918</v>
      </c>
      <c r="AR16" s="105">
        <f t="shared" si="10"/>
        <v>111.11111111111111</v>
      </c>
      <c r="AS16" s="105">
        <f t="shared" si="11"/>
        <v>103.00048769388212</v>
      </c>
      <c r="AW16" s="95"/>
      <c r="BA16" s="113"/>
      <c r="BB16" s="95"/>
      <c r="BC16" s="113"/>
      <c r="BD16" s="113"/>
      <c r="BE16" s="95"/>
      <c r="BF16" s="95"/>
      <c r="BJ16" s="113"/>
      <c r="BK16" s="95"/>
      <c r="BL16" s="113"/>
      <c r="BM16" s="113"/>
      <c r="BR16" s="113"/>
      <c r="BV16" s="97"/>
      <c r="BW16" s="113"/>
      <c r="BX16" s="113"/>
    </row>
    <row r="17" spans="1:76" s="91" customFormat="1" ht="15">
      <c r="A17" s="91">
        <v>16</v>
      </c>
      <c r="B17" s="91" t="s">
        <v>34</v>
      </c>
      <c r="C17" s="91" t="s">
        <v>60</v>
      </c>
      <c r="D17" s="98" t="s">
        <v>63</v>
      </c>
      <c r="E17" s="99" t="s">
        <v>83</v>
      </c>
      <c r="F17" s="91" t="s">
        <v>134</v>
      </c>
      <c r="G17" s="100">
        <v>41726</v>
      </c>
      <c r="H17" s="100"/>
      <c r="I17" s="100">
        <v>41949</v>
      </c>
      <c r="J17" s="101">
        <v>42060</v>
      </c>
      <c r="K17" s="94" t="s">
        <v>122</v>
      </c>
      <c r="L17" s="95">
        <f t="shared" si="0"/>
        <v>334</v>
      </c>
      <c r="M17" s="95">
        <v>608</v>
      </c>
      <c r="N17" s="95">
        <v>622</v>
      </c>
      <c r="O17" s="95">
        <v>620</v>
      </c>
      <c r="P17" s="102">
        <f t="shared" si="1"/>
        <v>621</v>
      </c>
      <c r="Q17" s="103"/>
      <c r="R17" s="102"/>
      <c r="S17" s="103"/>
      <c r="T17" s="104"/>
      <c r="U17" s="103"/>
      <c r="V17" s="119">
        <v>896</v>
      </c>
      <c r="W17" s="103">
        <v>900</v>
      </c>
      <c r="X17" s="103">
        <f t="shared" si="12"/>
        <v>898</v>
      </c>
      <c r="Y17" s="104">
        <f t="shared" si="2"/>
        <v>2.688622754491018</v>
      </c>
      <c r="Z17" s="103">
        <f t="shared" si="3"/>
        <v>277</v>
      </c>
      <c r="AA17" s="105">
        <f t="shared" si="4"/>
        <v>2.4732142857142856</v>
      </c>
      <c r="AB17" s="104">
        <v>49</v>
      </c>
      <c r="AC17" s="106">
        <f t="shared" si="13"/>
        <v>5.420219720000001</v>
      </c>
      <c r="AD17" s="118">
        <v>10.9752</v>
      </c>
      <c r="AE17" s="105">
        <f t="shared" si="14"/>
        <v>1.2221826280623607</v>
      </c>
      <c r="AF17" s="118">
        <v>0.171822</v>
      </c>
      <c r="AG17" s="118">
        <v>3.46178</v>
      </c>
      <c r="AH17" s="106">
        <v>38</v>
      </c>
      <c r="AI17" s="103">
        <v>3</v>
      </c>
      <c r="AJ17" s="103">
        <v>5</v>
      </c>
      <c r="AK17" s="106">
        <v>15.5</v>
      </c>
      <c r="AL17" s="106">
        <v>12</v>
      </c>
      <c r="AM17" s="105">
        <f t="shared" si="5"/>
        <v>186</v>
      </c>
      <c r="AN17" s="105">
        <f t="shared" si="6"/>
        <v>67.2069099378882</v>
      </c>
      <c r="AO17" s="104">
        <f t="shared" si="7"/>
        <v>93.29638382155424</v>
      </c>
      <c r="AP17" s="105">
        <f t="shared" si="8"/>
        <v>96.36640697100424</v>
      </c>
      <c r="AQ17" s="104">
        <f t="shared" si="9"/>
        <v>141.29714285714286</v>
      </c>
      <c r="AR17" s="105">
        <f t="shared" si="10"/>
        <v>114.11411411411412</v>
      </c>
      <c r="AS17" s="105">
        <f t="shared" si="11"/>
        <v>94.0609594767554</v>
      </c>
      <c r="AW17" s="95"/>
      <c r="BA17" s="113"/>
      <c r="BB17" s="95"/>
      <c r="BC17" s="113"/>
      <c r="BD17" s="113"/>
      <c r="BE17" s="95"/>
      <c r="BF17" s="95"/>
      <c r="BJ17" s="113"/>
      <c r="BK17" s="95"/>
      <c r="BL17" s="113"/>
      <c r="BM17" s="113"/>
      <c r="BR17" s="113"/>
      <c r="BV17" s="97"/>
      <c r="BW17" s="113"/>
      <c r="BX17" s="113"/>
    </row>
    <row r="18" spans="1:76" s="91" customFormat="1" ht="15">
      <c r="A18" s="91">
        <v>17</v>
      </c>
      <c r="B18" s="91" t="s">
        <v>34</v>
      </c>
      <c r="C18" s="91" t="s">
        <v>60</v>
      </c>
      <c r="D18" s="98" t="s">
        <v>106</v>
      </c>
      <c r="E18" s="99" t="s">
        <v>84</v>
      </c>
      <c r="F18" s="91" t="s">
        <v>135</v>
      </c>
      <c r="G18" s="100">
        <v>41683</v>
      </c>
      <c r="H18" s="100"/>
      <c r="I18" s="100">
        <v>41949</v>
      </c>
      <c r="J18" s="101">
        <v>42060</v>
      </c>
      <c r="K18" s="94" t="s">
        <v>123</v>
      </c>
      <c r="L18" s="95">
        <f t="shared" si="0"/>
        <v>377</v>
      </c>
      <c r="M18" s="95">
        <v>602</v>
      </c>
      <c r="N18" s="95">
        <v>660</v>
      </c>
      <c r="O18" s="95">
        <v>662</v>
      </c>
      <c r="P18" s="102">
        <f t="shared" si="1"/>
        <v>661</v>
      </c>
      <c r="Q18" s="103"/>
      <c r="R18" s="102"/>
      <c r="S18" s="103"/>
      <c r="T18" s="104"/>
      <c r="U18" s="103"/>
      <c r="V18" s="119">
        <v>1050</v>
      </c>
      <c r="W18" s="102">
        <v>1060</v>
      </c>
      <c r="X18" s="103">
        <f t="shared" si="12"/>
        <v>1055</v>
      </c>
      <c r="Y18" s="104">
        <f t="shared" si="2"/>
        <v>2.7984084880636604</v>
      </c>
      <c r="Z18" s="103">
        <f t="shared" si="3"/>
        <v>394</v>
      </c>
      <c r="AA18" s="105">
        <f t="shared" si="4"/>
        <v>3.517857142857143</v>
      </c>
      <c r="AB18" s="105">
        <v>49</v>
      </c>
      <c r="AC18" s="106">
        <f t="shared" si="13"/>
        <v>4.862037530000002</v>
      </c>
      <c r="AD18" s="118">
        <v>12.9175</v>
      </c>
      <c r="AE18" s="105">
        <f t="shared" si="14"/>
        <v>1.2244075829383887</v>
      </c>
      <c r="AF18" s="118">
        <v>0.23236</v>
      </c>
      <c r="AG18" s="118">
        <v>4.59826</v>
      </c>
      <c r="AH18" s="106">
        <v>32</v>
      </c>
      <c r="AI18" s="103">
        <v>1</v>
      </c>
      <c r="AJ18" s="103">
        <v>6</v>
      </c>
      <c r="AK18" s="106">
        <v>14</v>
      </c>
      <c r="AL18" s="106">
        <v>12</v>
      </c>
      <c r="AM18" s="105">
        <f t="shared" si="5"/>
        <v>168</v>
      </c>
      <c r="AN18" s="105">
        <f t="shared" si="6"/>
        <v>95.59394409937887</v>
      </c>
      <c r="AO18" s="104">
        <f t="shared" si="7"/>
        <v>93.4662277052205</v>
      </c>
      <c r="AP18" s="105">
        <f t="shared" si="8"/>
        <v>100.30137950048963</v>
      </c>
      <c r="AQ18" s="104">
        <f t="shared" si="9"/>
        <v>187.68408163265303</v>
      </c>
      <c r="AR18" s="105">
        <f t="shared" si="10"/>
        <v>96.0960960960961</v>
      </c>
      <c r="AS18" s="105">
        <f t="shared" si="11"/>
        <v>109.97362373043218</v>
      </c>
      <c r="AW18" s="107"/>
      <c r="AX18" s="108"/>
      <c r="AY18" s="108"/>
      <c r="AZ18" s="108"/>
      <c r="BA18" s="108"/>
      <c r="BB18" s="107"/>
      <c r="BC18" s="108"/>
      <c r="BD18" s="108"/>
      <c r="BE18" s="107"/>
      <c r="BF18" s="108"/>
      <c r="BG18" s="108"/>
      <c r="BH18" s="108"/>
      <c r="BI18" s="108"/>
      <c r="BJ18" s="108"/>
      <c r="BK18" s="107"/>
      <c r="BL18" s="108"/>
      <c r="BM18" s="108"/>
      <c r="BN18" s="108"/>
      <c r="BO18" s="107"/>
      <c r="BP18" s="108"/>
      <c r="BQ18" s="107"/>
      <c r="BR18" s="108"/>
      <c r="BS18" s="108"/>
      <c r="BT18" s="108"/>
      <c r="BU18" s="108"/>
      <c r="BV18" s="109"/>
      <c r="BW18" s="108"/>
      <c r="BX18" s="108"/>
    </row>
    <row r="19" spans="1:76" s="91" customFormat="1" ht="15">
      <c r="A19" s="91">
        <v>18</v>
      </c>
      <c r="B19" s="91" t="s">
        <v>55</v>
      </c>
      <c r="C19" s="91" t="s">
        <v>56</v>
      </c>
      <c r="D19" s="98" t="s">
        <v>106</v>
      </c>
      <c r="E19" s="115" t="s">
        <v>85</v>
      </c>
      <c r="F19" s="91" t="s">
        <v>135</v>
      </c>
      <c r="G19" s="114">
        <v>41579</v>
      </c>
      <c r="H19" s="100"/>
      <c r="I19" s="100">
        <v>41949</v>
      </c>
      <c r="J19" s="101">
        <v>42060</v>
      </c>
      <c r="K19" s="94" t="s">
        <v>123</v>
      </c>
      <c r="L19" s="95">
        <f t="shared" si="0"/>
        <v>481</v>
      </c>
      <c r="M19" s="95">
        <v>910</v>
      </c>
      <c r="N19" s="95">
        <v>920</v>
      </c>
      <c r="O19" s="95">
        <v>904</v>
      </c>
      <c r="P19" s="102">
        <f t="shared" si="1"/>
        <v>912</v>
      </c>
      <c r="Q19" s="103"/>
      <c r="R19" s="102"/>
      <c r="S19" s="103"/>
      <c r="T19" s="104"/>
      <c r="U19" s="103"/>
      <c r="V19" s="119">
        <v>1245</v>
      </c>
      <c r="W19" s="102">
        <v>1255</v>
      </c>
      <c r="X19" s="103">
        <f t="shared" si="12"/>
        <v>1250</v>
      </c>
      <c r="Y19" s="104">
        <f t="shared" si="2"/>
        <v>2.598752598752599</v>
      </c>
      <c r="Z19" s="103">
        <f t="shared" si="3"/>
        <v>338</v>
      </c>
      <c r="AA19" s="105">
        <f t="shared" si="4"/>
        <v>3.017857142857143</v>
      </c>
      <c r="AB19" s="105">
        <v>50.5</v>
      </c>
      <c r="AC19" s="106">
        <f t="shared" si="13"/>
        <v>4.5089340700000005</v>
      </c>
      <c r="AD19" s="118">
        <v>13.7439</v>
      </c>
      <c r="AE19" s="105">
        <f t="shared" si="14"/>
        <v>1.099512</v>
      </c>
      <c r="AF19" s="118">
        <v>0.262872</v>
      </c>
      <c r="AG19" s="118">
        <v>6.71546</v>
      </c>
      <c r="AH19" s="106">
        <v>39</v>
      </c>
      <c r="AI19" s="103">
        <v>2</v>
      </c>
      <c r="AJ19" s="103">
        <v>6</v>
      </c>
      <c r="AK19" s="106">
        <v>15</v>
      </c>
      <c r="AL19" s="106">
        <v>12</v>
      </c>
      <c r="AM19" s="105">
        <f t="shared" si="5"/>
        <v>180</v>
      </c>
      <c r="AN19" s="105">
        <f t="shared" si="6"/>
        <v>82.00698757763975</v>
      </c>
      <c r="AO19" s="104">
        <f t="shared" si="7"/>
        <v>83.93221374045801</v>
      </c>
      <c r="AP19" s="105">
        <f t="shared" si="8"/>
        <v>93.14525443557702</v>
      </c>
      <c r="AQ19" s="104">
        <f t="shared" si="9"/>
        <v>274.1004081632653</v>
      </c>
      <c r="AR19" s="105">
        <f t="shared" si="10"/>
        <v>117.11711711711712</v>
      </c>
      <c r="AS19" s="105">
        <f t="shared" si="11"/>
        <v>116.94471222358243</v>
      </c>
      <c r="AW19" s="107"/>
      <c r="AX19" s="108"/>
      <c r="AY19" s="108"/>
      <c r="AZ19" s="108"/>
      <c r="BA19" s="108"/>
      <c r="BB19" s="107"/>
      <c r="BC19" s="108"/>
      <c r="BD19" s="108"/>
      <c r="BE19" s="95"/>
      <c r="BF19" s="108"/>
      <c r="BG19" s="108"/>
      <c r="BH19" s="108"/>
      <c r="BI19" s="108"/>
      <c r="BJ19" s="108"/>
      <c r="BK19" s="107"/>
      <c r="BL19" s="108"/>
      <c r="BM19" s="108"/>
      <c r="BN19" s="108"/>
      <c r="BO19" s="107"/>
      <c r="BP19" s="108"/>
      <c r="BQ19" s="107"/>
      <c r="BR19" s="108"/>
      <c r="BS19" s="108"/>
      <c r="BT19" s="108"/>
      <c r="BU19" s="108"/>
      <c r="BV19" s="109"/>
      <c r="BW19" s="108"/>
      <c r="BX19" s="108"/>
    </row>
    <row r="20" spans="1:76" s="91" customFormat="1" ht="30">
      <c r="A20" s="91">
        <v>19</v>
      </c>
      <c r="B20" s="91" t="s">
        <v>34</v>
      </c>
      <c r="C20" s="91" t="s">
        <v>60</v>
      </c>
      <c r="D20" s="98" t="s">
        <v>107</v>
      </c>
      <c r="E20" s="110" t="s">
        <v>86</v>
      </c>
      <c r="F20" s="91" t="s">
        <v>134</v>
      </c>
      <c r="G20" s="100">
        <v>41664</v>
      </c>
      <c r="H20" s="100"/>
      <c r="I20" s="100">
        <v>41949</v>
      </c>
      <c r="J20" s="101">
        <v>42060</v>
      </c>
      <c r="K20" s="111" t="s">
        <v>124</v>
      </c>
      <c r="L20" s="95">
        <f t="shared" si="0"/>
        <v>396</v>
      </c>
      <c r="M20" s="95">
        <v>874</v>
      </c>
      <c r="N20" s="95">
        <v>918</v>
      </c>
      <c r="O20" s="95">
        <v>934</v>
      </c>
      <c r="P20" s="102">
        <f t="shared" si="1"/>
        <v>926</v>
      </c>
      <c r="Q20" s="103"/>
      <c r="R20" s="102"/>
      <c r="S20" s="103"/>
      <c r="T20" s="104"/>
      <c r="U20" s="103"/>
      <c r="V20" s="119">
        <v>1195</v>
      </c>
      <c r="W20" s="102">
        <v>1200</v>
      </c>
      <c r="X20" s="103">
        <f t="shared" si="12"/>
        <v>1197.5</v>
      </c>
      <c r="Y20" s="104">
        <f t="shared" si="2"/>
        <v>3.023989898989899</v>
      </c>
      <c r="Z20" s="103">
        <f t="shared" si="3"/>
        <v>271.5</v>
      </c>
      <c r="AA20" s="105">
        <f t="shared" si="4"/>
        <v>2.424107142857143</v>
      </c>
      <c r="AB20" s="105">
        <v>51</v>
      </c>
      <c r="AC20" s="106">
        <f t="shared" si="13"/>
        <v>5.666059520000001</v>
      </c>
      <c r="AD20" s="118">
        <v>13.4555</v>
      </c>
      <c r="AE20" s="105">
        <f t="shared" si="14"/>
        <v>1.1236325678496868</v>
      </c>
      <c r="AF20" s="118">
        <v>0.151386</v>
      </c>
      <c r="AG20" s="118">
        <v>3.56987</v>
      </c>
      <c r="AH20" s="106">
        <v>39</v>
      </c>
      <c r="AI20" s="103">
        <v>2</v>
      </c>
      <c r="AJ20" s="103">
        <v>6</v>
      </c>
      <c r="AK20" s="106">
        <v>16</v>
      </c>
      <c r="AL20" s="106">
        <v>12</v>
      </c>
      <c r="AM20" s="105">
        <f t="shared" si="5"/>
        <v>192</v>
      </c>
      <c r="AN20" s="105">
        <f t="shared" si="6"/>
        <v>65.87247670807453</v>
      </c>
      <c r="AO20" s="104">
        <f t="shared" si="7"/>
        <v>85.77347846180815</v>
      </c>
      <c r="AP20" s="105">
        <f t="shared" si="8"/>
        <v>108.38673473082075</v>
      </c>
      <c r="AQ20" s="104">
        <f t="shared" si="9"/>
        <v>145.70897959183674</v>
      </c>
      <c r="AR20" s="105">
        <f t="shared" si="10"/>
        <v>117.11711711711712</v>
      </c>
      <c r="AS20" s="105">
        <f t="shared" si="11"/>
        <v>95.45546813683909</v>
      </c>
      <c r="AW20" s="107"/>
      <c r="AX20" s="108"/>
      <c r="AY20" s="108"/>
      <c r="AZ20" s="108"/>
      <c r="BA20" s="108"/>
      <c r="BB20" s="107"/>
      <c r="BC20" s="108"/>
      <c r="BD20" s="108"/>
      <c r="BE20" s="107"/>
      <c r="BF20" s="108"/>
      <c r="BG20" s="108"/>
      <c r="BH20" s="108"/>
      <c r="BI20" s="108"/>
      <c r="BJ20" s="108"/>
      <c r="BK20" s="107"/>
      <c r="BL20" s="108"/>
      <c r="BM20" s="108"/>
      <c r="BN20" s="108"/>
      <c r="BO20" s="107"/>
      <c r="BP20" s="108"/>
      <c r="BQ20" s="107"/>
      <c r="BR20" s="108"/>
      <c r="BS20" s="108"/>
      <c r="BT20" s="108"/>
      <c r="BU20" s="108"/>
      <c r="BV20" s="109"/>
      <c r="BW20" s="108"/>
      <c r="BX20" s="108"/>
    </row>
    <row r="21" spans="1:76" s="91" customFormat="1" ht="30">
      <c r="A21" s="91">
        <v>20</v>
      </c>
      <c r="B21" s="91" t="s">
        <v>34</v>
      </c>
      <c r="C21" s="91" t="s">
        <v>60</v>
      </c>
      <c r="D21" s="91" t="s">
        <v>107</v>
      </c>
      <c r="E21" s="99" t="s">
        <v>87</v>
      </c>
      <c r="F21" s="91" t="s">
        <v>134</v>
      </c>
      <c r="G21" s="100">
        <v>41660</v>
      </c>
      <c r="H21" s="100"/>
      <c r="I21" s="100">
        <v>41949</v>
      </c>
      <c r="J21" s="101">
        <v>42060</v>
      </c>
      <c r="K21" s="111" t="s">
        <v>124</v>
      </c>
      <c r="L21" s="95">
        <f t="shared" si="0"/>
        <v>400</v>
      </c>
      <c r="M21" s="95">
        <v>918</v>
      </c>
      <c r="N21" s="95">
        <v>918</v>
      </c>
      <c r="O21" s="95">
        <v>924</v>
      </c>
      <c r="P21" s="102">
        <f t="shared" si="1"/>
        <v>921</v>
      </c>
      <c r="Q21" s="103"/>
      <c r="R21" s="102"/>
      <c r="S21" s="103"/>
      <c r="T21" s="104"/>
      <c r="U21" s="103"/>
      <c r="V21" s="119">
        <v>1270</v>
      </c>
      <c r="W21" s="102">
        <v>1280</v>
      </c>
      <c r="X21" s="103">
        <f t="shared" si="12"/>
        <v>1275</v>
      </c>
      <c r="Y21" s="104">
        <f t="shared" si="2"/>
        <v>3.1875</v>
      </c>
      <c r="Z21" s="103">
        <f t="shared" si="3"/>
        <v>354</v>
      </c>
      <c r="AA21" s="105">
        <f t="shared" si="4"/>
        <v>3.1607142857142856</v>
      </c>
      <c r="AB21" s="104">
        <v>55</v>
      </c>
      <c r="AC21" s="106">
        <f t="shared" si="13"/>
        <v>7.537600000000001</v>
      </c>
      <c r="AD21" s="118">
        <v>13.368</v>
      </c>
      <c r="AE21" s="105">
        <f t="shared" si="14"/>
        <v>1.048470588235294</v>
      </c>
      <c r="AF21" s="118">
        <v>0.205662</v>
      </c>
      <c r="AG21" s="118">
        <v>3.36223</v>
      </c>
      <c r="AH21" s="112">
        <v>38</v>
      </c>
      <c r="AI21" s="103">
        <v>3</v>
      </c>
      <c r="AJ21" s="103">
        <v>7</v>
      </c>
      <c r="AK21" s="112">
        <v>16</v>
      </c>
      <c r="AL21" s="112">
        <v>12</v>
      </c>
      <c r="AM21" s="105">
        <f t="shared" si="5"/>
        <v>192</v>
      </c>
      <c r="AN21" s="105">
        <f t="shared" si="6"/>
        <v>85.8889751552795</v>
      </c>
      <c r="AO21" s="104">
        <f t="shared" si="7"/>
        <v>80.03592276605298</v>
      </c>
      <c r="AP21" s="105">
        <f t="shared" si="8"/>
        <v>114.24731182795699</v>
      </c>
      <c r="AQ21" s="104">
        <f t="shared" si="9"/>
        <v>137.23387755102038</v>
      </c>
      <c r="AR21" s="105">
        <f t="shared" si="10"/>
        <v>114.11411411411412</v>
      </c>
      <c r="AS21" s="105">
        <f t="shared" si="11"/>
        <v>100.91428126721428</v>
      </c>
      <c r="AW21" s="107"/>
      <c r="AX21" s="108"/>
      <c r="AY21" s="108"/>
      <c r="AZ21" s="108"/>
      <c r="BA21" s="108"/>
      <c r="BB21" s="107"/>
      <c r="BC21" s="108"/>
      <c r="BD21" s="108"/>
      <c r="BE21" s="107"/>
      <c r="BF21" s="108"/>
      <c r="BG21" s="108"/>
      <c r="BH21" s="108"/>
      <c r="BI21" s="108"/>
      <c r="BJ21" s="108"/>
      <c r="BK21" s="107"/>
      <c r="BL21" s="108"/>
      <c r="BM21" s="108"/>
      <c r="BN21" s="108"/>
      <c r="BO21" s="107"/>
      <c r="BP21" s="108"/>
      <c r="BQ21" s="107"/>
      <c r="BR21" s="108"/>
      <c r="BS21" s="108"/>
      <c r="BT21" s="108"/>
      <c r="BU21" s="108"/>
      <c r="BV21" s="109"/>
      <c r="BW21" s="108"/>
      <c r="BX21" s="108"/>
    </row>
    <row r="22" spans="1:76" s="91" customFormat="1" ht="30">
      <c r="A22" s="91">
        <v>21</v>
      </c>
      <c r="B22" s="91" t="s">
        <v>55</v>
      </c>
      <c r="C22" s="91" t="s">
        <v>56</v>
      </c>
      <c r="D22" s="91" t="s">
        <v>61</v>
      </c>
      <c r="E22" s="99" t="s">
        <v>88</v>
      </c>
      <c r="F22" s="91" t="s">
        <v>59</v>
      </c>
      <c r="G22" s="100">
        <v>41579</v>
      </c>
      <c r="H22" s="100"/>
      <c r="I22" s="100">
        <v>41949</v>
      </c>
      <c r="J22" s="101">
        <v>42060</v>
      </c>
      <c r="K22" s="111" t="s">
        <v>125</v>
      </c>
      <c r="L22" s="95">
        <f t="shared" si="0"/>
        <v>481</v>
      </c>
      <c r="M22" s="95">
        <v>886</v>
      </c>
      <c r="N22" s="95">
        <v>1000</v>
      </c>
      <c r="O22" s="95">
        <v>978</v>
      </c>
      <c r="P22" s="102">
        <f t="shared" si="1"/>
        <v>989</v>
      </c>
      <c r="Q22" s="103"/>
      <c r="R22" s="102"/>
      <c r="S22" s="103"/>
      <c r="T22" s="104"/>
      <c r="U22" s="103"/>
      <c r="V22" s="119">
        <v>1270</v>
      </c>
      <c r="W22" s="103">
        <v>1270</v>
      </c>
      <c r="X22" s="103">
        <f t="shared" si="12"/>
        <v>1270</v>
      </c>
      <c r="Y22" s="104">
        <f t="shared" si="2"/>
        <v>2.64033264033264</v>
      </c>
      <c r="Z22" s="103">
        <f t="shared" si="3"/>
        <v>281</v>
      </c>
      <c r="AA22" s="105">
        <f t="shared" si="4"/>
        <v>2.5089285714285716</v>
      </c>
      <c r="AB22" s="105">
        <v>52.5</v>
      </c>
      <c r="AC22" s="106">
        <f t="shared" si="13"/>
        <v>5.47650137</v>
      </c>
      <c r="AD22" s="118">
        <v>13.5715</v>
      </c>
      <c r="AE22" s="105">
        <f t="shared" si="14"/>
        <v>1.0686220472440946</v>
      </c>
      <c r="AF22" s="118">
        <v>0.191712</v>
      </c>
      <c r="AG22" s="118">
        <v>3.93976</v>
      </c>
      <c r="AH22" s="106">
        <v>37</v>
      </c>
      <c r="AI22" s="103">
        <v>2</v>
      </c>
      <c r="AJ22" s="103">
        <v>7</v>
      </c>
      <c r="AK22" s="106">
        <v>15</v>
      </c>
      <c r="AL22" s="106">
        <v>12</v>
      </c>
      <c r="AM22" s="105">
        <f t="shared" si="5"/>
        <v>180</v>
      </c>
      <c r="AN22" s="105">
        <f t="shared" si="6"/>
        <v>68.17740683229813</v>
      </c>
      <c r="AO22" s="104">
        <f t="shared" si="7"/>
        <v>81.57420207970188</v>
      </c>
      <c r="AP22" s="105">
        <f t="shared" si="8"/>
        <v>94.63557850654624</v>
      </c>
      <c r="AQ22" s="104">
        <f t="shared" si="9"/>
        <v>160.8065306122449</v>
      </c>
      <c r="AR22" s="105">
        <f t="shared" si="10"/>
        <v>111.11111111111111</v>
      </c>
      <c r="AS22" s="105">
        <f t="shared" si="11"/>
        <v>94.33613921150182</v>
      </c>
      <c r="AW22" s="107"/>
      <c r="AX22" s="108"/>
      <c r="AY22" s="108"/>
      <c r="AZ22" s="108"/>
      <c r="BA22" s="108"/>
      <c r="BB22" s="107"/>
      <c r="BC22" s="108"/>
      <c r="BD22" s="108"/>
      <c r="BE22" s="95"/>
      <c r="BF22" s="108"/>
      <c r="BG22" s="108"/>
      <c r="BH22" s="108"/>
      <c r="BI22" s="108"/>
      <c r="BJ22" s="108"/>
      <c r="BK22" s="107"/>
      <c r="BL22" s="108"/>
      <c r="BM22" s="108"/>
      <c r="BN22" s="108"/>
      <c r="BO22" s="107"/>
      <c r="BP22" s="108"/>
      <c r="BQ22" s="107"/>
      <c r="BR22" s="108"/>
      <c r="BS22" s="108"/>
      <c r="BT22" s="108"/>
      <c r="BU22" s="108"/>
      <c r="BV22" s="109"/>
      <c r="BW22" s="108"/>
      <c r="BX22" s="108"/>
    </row>
    <row r="23" spans="1:76" s="91" customFormat="1" ht="30">
      <c r="A23" s="91">
        <v>22</v>
      </c>
      <c r="B23" s="91" t="s">
        <v>34</v>
      </c>
      <c r="C23" s="91" t="s">
        <v>60</v>
      </c>
      <c r="D23" s="91" t="s">
        <v>61</v>
      </c>
      <c r="E23" s="110" t="s">
        <v>89</v>
      </c>
      <c r="F23" s="91" t="s">
        <v>59</v>
      </c>
      <c r="G23" s="100">
        <v>41689</v>
      </c>
      <c r="H23" s="100"/>
      <c r="I23" s="100">
        <v>41949</v>
      </c>
      <c r="J23" s="101">
        <v>42060</v>
      </c>
      <c r="K23" s="111" t="s">
        <v>125</v>
      </c>
      <c r="L23" s="95">
        <f t="shared" si="0"/>
        <v>371</v>
      </c>
      <c r="M23" s="95">
        <v>692</v>
      </c>
      <c r="N23" s="95">
        <v>800</v>
      </c>
      <c r="O23" s="95">
        <v>796</v>
      </c>
      <c r="P23" s="102">
        <f t="shared" si="1"/>
        <v>798</v>
      </c>
      <c r="Q23" s="103"/>
      <c r="R23" s="102"/>
      <c r="S23" s="103"/>
      <c r="T23" s="104"/>
      <c r="U23" s="103"/>
      <c r="V23" s="119">
        <v>1175</v>
      </c>
      <c r="W23" s="102">
        <v>1195</v>
      </c>
      <c r="X23" s="103">
        <f t="shared" si="12"/>
        <v>1185</v>
      </c>
      <c r="Y23" s="104">
        <f t="shared" si="2"/>
        <v>3.1940700808625335</v>
      </c>
      <c r="Z23" s="103">
        <f t="shared" si="3"/>
        <v>387</v>
      </c>
      <c r="AA23" s="105">
        <f t="shared" si="4"/>
        <v>3.455357142857143</v>
      </c>
      <c r="AB23" s="105">
        <v>50.5</v>
      </c>
      <c r="AC23" s="106">
        <f t="shared" si="13"/>
        <v>5.675831670000001</v>
      </c>
      <c r="AD23" s="118">
        <v>12.9728</v>
      </c>
      <c r="AE23" s="105">
        <f t="shared" si="14"/>
        <v>1.0947510548523207</v>
      </c>
      <c r="AF23" s="118">
        <v>0.208194</v>
      </c>
      <c r="AG23" s="118">
        <v>3.72254</v>
      </c>
      <c r="AH23" s="106">
        <v>41</v>
      </c>
      <c r="AI23" s="103">
        <v>2</v>
      </c>
      <c r="AJ23" s="103">
        <v>5</v>
      </c>
      <c r="AK23" s="106">
        <v>14</v>
      </c>
      <c r="AL23" s="106">
        <v>10</v>
      </c>
      <c r="AM23" s="105">
        <f t="shared" si="5"/>
        <v>140</v>
      </c>
      <c r="AN23" s="105">
        <f t="shared" si="6"/>
        <v>93.89557453416148</v>
      </c>
      <c r="AO23" s="104">
        <f t="shared" si="7"/>
        <v>83.56878281315426</v>
      </c>
      <c r="AP23" s="105">
        <f t="shared" si="8"/>
        <v>114.48279859722341</v>
      </c>
      <c r="AQ23" s="104">
        <f t="shared" si="9"/>
        <v>151.9404081632653</v>
      </c>
      <c r="AR23" s="105">
        <f t="shared" si="10"/>
        <v>123.12312312312312</v>
      </c>
      <c r="AS23" s="105">
        <f t="shared" si="11"/>
        <v>107.57714090583416</v>
      </c>
      <c r="AW23" s="107"/>
      <c r="AX23" s="108"/>
      <c r="AY23" s="108"/>
      <c r="AZ23" s="108"/>
      <c r="BA23" s="108"/>
      <c r="BB23" s="107"/>
      <c r="BC23" s="108"/>
      <c r="BD23" s="108"/>
      <c r="BE23" s="95"/>
      <c r="BF23" s="108"/>
      <c r="BG23" s="108"/>
      <c r="BH23" s="108"/>
      <c r="BI23" s="108"/>
      <c r="BJ23" s="108"/>
      <c r="BK23" s="107"/>
      <c r="BL23" s="108"/>
      <c r="BM23" s="108"/>
      <c r="BN23" s="108"/>
      <c r="BO23" s="107"/>
      <c r="BP23" s="108"/>
      <c r="BQ23" s="107"/>
      <c r="BR23" s="108"/>
      <c r="BS23" s="108"/>
      <c r="BT23" s="108"/>
      <c r="BU23" s="108"/>
      <c r="BV23" s="109"/>
      <c r="BW23" s="108"/>
      <c r="BX23" s="108"/>
    </row>
    <row r="24" spans="1:76" s="91" customFormat="1" ht="15">
      <c r="A24" s="91">
        <v>23</v>
      </c>
      <c r="B24" s="91" t="s">
        <v>34</v>
      </c>
      <c r="C24" s="91" t="s">
        <v>60</v>
      </c>
      <c r="D24" s="91" t="s">
        <v>61</v>
      </c>
      <c r="E24" s="99" t="s">
        <v>90</v>
      </c>
      <c r="F24" s="91" t="s">
        <v>59</v>
      </c>
      <c r="G24" s="100">
        <v>41685</v>
      </c>
      <c r="H24" s="100"/>
      <c r="I24" s="100">
        <v>41949</v>
      </c>
      <c r="J24" s="101">
        <v>42060</v>
      </c>
      <c r="K24" s="94" t="s">
        <v>125</v>
      </c>
      <c r="L24" s="95">
        <f t="shared" si="0"/>
        <v>375</v>
      </c>
      <c r="M24" s="95">
        <v>638</v>
      </c>
      <c r="N24" s="95">
        <v>736</v>
      </c>
      <c r="O24" s="95">
        <v>724</v>
      </c>
      <c r="P24" s="102">
        <f t="shared" si="1"/>
        <v>730</v>
      </c>
      <c r="Q24" s="103"/>
      <c r="R24" s="102"/>
      <c r="S24" s="103"/>
      <c r="T24" s="104"/>
      <c r="U24" s="103"/>
      <c r="V24" s="119">
        <v>1035</v>
      </c>
      <c r="W24" s="102">
        <v>1030</v>
      </c>
      <c r="X24" s="103">
        <f t="shared" si="12"/>
        <v>1032.5</v>
      </c>
      <c r="Y24" s="104">
        <f t="shared" si="2"/>
        <v>2.7533333333333334</v>
      </c>
      <c r="Z24" s="103">
        <f t="shared" si="3"/>
        <v>302.5</v>
      </c>
      <c r="AA24" s="105">
        <f t="shared" si="4"/>
        <v>2.700892857142857</v>
      </c>
      <c r="AB24" s="105">
        <v>51</v>
      </c>
      <c r="AC24" s="106">
        <f t="shared" si="13"/>
        <v>5.93166875</v>
      </c>
      <c r="AD24" s="118">
        <v>11.7439</v>
      </c>
      <c r="AE24" s="105">
        <f t="shared" si="14"/>
        <v>1.1374237288135594</v>
      </c>
      <c r="AF24" s="118">
        <v>0.169668</v>
      </c>
      <c r="AG24" s="118">
        <v>3.72358</v>
      </c>
      <c r="AH24" s="106">
        <v>35</v>
      </c>
      <c r="AI24" s="103">
        <v>3</v>
      </c>
      <c r="AJ24" s="103">
        <v>6</v>
      </c>
      <c r="AK24" s="106">
        <v>14.5</v>
      </c>
      <c r="AL24" s="106">
        <v>12</v>
      </c>
      <c r="AM24" s="105">
        <f t="shared" si="5"/>
        <v>174</v>
      </c>
      <c r="AN24" s="105">
        <f t="shared" si="6"/>
        <v>73.39382763975155</v>
      </c>
      <c r="AO24" s="104">
        <f t="shared" si="7"/>
        <v>86.82623884072972</v>
      </c>
      <c r="AP24" s="105">
        <f t="shared" si="8"/>
        <v>98.6857825567503</v>
      </c>
      <c r="AQ24" s="104">
        <f t="shared" si="9"/>
        <v>151.98285714285714</v>
      </c>
      <c r="AR24" s="105">
        <f t="shared" si="10"/>
        <v>105.10510510510511</v>
      </c>
      <c r="AS24" s="105">
        <f t="shared" si="11"/>
        <v>96.09818303534813</v>
      </c>
      <c r="AW24" s="107"/>
      <c r="AX24" s="108"/>
      <c r="AY24" s="108"/>
      <c r="AZ24" s="108"/>
      <c r="BA24" s="108"/>
      <c r="BB24" s="107"/>
      <c r="BC24" s="108"/>
      <c r="BD24" s="108"/>
      <c r="BE24" s="107"/>
      <c r="BF24" s="108"/>
      <c r="BG24" s="108"/>
      <c r="BH24" s="108"/>
      <c r="BI24" s="108"/>
      <c r="BJ24" s="108"/>
      <c r="BK24" s="107"/>
      <c r="BL24" s="108"/>
      <c r="BM24" s="108"/>
      <c r="BN24" s="108"/>
      <c r="BO24" s="107"/>
      <c r="BP24" s="108"/>
      <c r="BQ24" s="107"/>
      <c r="BR24" s="108"/>
      <c r="BS24" s="108"/>
      <c r="BT24" s="108"/>
      <c r="BU24" s="108"/>
      <c r="BV24" s="109"/>
      <c r="BW24" s="108"/>
      <c r="BX24" s="108"/>
    </row>
    <row r="25" spans="1:76" s="91" customFormat="1" ht="15">
      <c r="A25" s="91">
        <v>24</v>
      </c>
      <c r="B25" s="91" t="s">
        <v>54</v>
      </c>
      <c r="C25" s="91" t="s">
        <v>41</v>
      </c>
      <c r="D25" s="91" t="s">
        <v>61</v>
      </c>
      <c r="E25" s="99" t="s">
        <v>91</v>
      </c>
      <c r="F25" s="91" t="s">
        <v>59</v>
      </c>
      <c r="G25" s="100">
        <v>41530</v>
      </c>
      <c r="H25" s="100"/>
      <c r="I25" s="100">
        <v>41949</v>
      </c>
      <c r="J25" s="101">
        <v>42060</v>
      </c>
      <c r="K25" s="94" t="s">
        <v>125</v>
      </c>
      <c r="L25" s="95">
        <f t="shared" si="0"/>
        <v>530</v>
      </c>
      <c r="M25" s="95">
        <v>1000</v>
      </c>
      <c r="N25" s="95">
        <v>1120</v>
      </c>
      <c r="O25" s="95">
        <v>1105</v>
      </c>
      <c r="P25" s="102">
        <f t="shared" si="1"/>
        <v>1112.5</v>
      </c>
      <c r="Q25" s="103"/>
      <c r="R25" s="102"/>
      <c r="S25" s="103"/>
      <c r="T25" s="104"/>
      <c r="U25" s="103"/>
      <c r="V25" s="119">
        <v>1390</v>
      </c>
      <c r="W25" s="102">
        <v>1415</v>
      </c>
      <c r="X25" s="103">
        <f t="shared" si="12"/>
        <v>1402.5</v>
      </c>
      <c r="Y25" s="104">
        <f t="shared" si="2"/>
        <v>2.6462264150943398</v>
      </c>
      <c r="Z25" s="103">
        <f t="shared" si="3"/>
        <v>290</v>
      </c>
      <c r="AA25" s="105">
        <f t="shared" si="4"/>
        <v>2.5892857142857144</v>
      </c>
      <c r="AB25" s="105">
        <v>56</v>
      </c>
      <c r="AC25" s="106">
        <f t="shared" si="13"/>
        <v>6.797172000000002</v>
      </c>
      <c r="AD25" s="118">
        <v>15.2561</v>
      </c>
      <c r="AE25" s="105">
        <f t="shared" si="14"/>
        <v>1.0877789661319073</v>
      </c>
      <c r="AF25" s="118">
        <v>0.236617</v>
      </c>
      <c r="AG25" s="118">
        <v>3.74768</v>
      </c>
      <c r="AH25" s="106">
        <v>36</v>
      </c>
      <c r="AI25" s="103">
        <v>2</v>
      </c>
      <c r="AJ25" s="103">
        <v>7</v>
      </c>
      <c r="AK25" s="106">
        <v>16</v>
      </c>
      <c r="AL25" s="106">
        <v>12.5</v>
      </c>
      <c r="AM25" s="105">
        <f t="shared" si="5"/>
        <v>200</v>
      </c>
      <c r="AN25" s="105">
        <f t="shared" si="6"/>
        <v>70.3610248447205</v>
      </c>
      <c r="AO25" s="104">
        <f t="shared" si="7"/>
        <v>83.03656230014559</v>
      </c>
      <c r="AP25" s="105">
        <f t="shared" si="8"/>
        <v>94.84682491377562</v>
      </c>
      <c r="AQ25" s="104">
        <f t="shared" si="9"/>
        <v>152.96653061224487</v>
      </c>
      <c r="AR25" s="105">
        <f t="shared" si="10"/>
        <v>108.10810810810811</v>
      </c>
      <c r="AS25" s="105">
        <f t="shared" si="11"/>
        <v>93.95882654108395</v>
      </c>
      <c r="AW25" s="107"/>
      <c r="AX25" s="108"/>
      <c r="AY25" s="108"/>
      <c r="AZ25" s="108"/>
      <c r="BA25" s="108"/>
      <c r="BB25" s="107"/>
      <c r="BC25" s="108"/>
      <c r="BD25" s="108"/>
      <c r="BE25" s="107"/>
      <c r="BF25" s="108"/>
      <c r="BG25" s="108"/>
      <c r="BH25" s="108"/>
      <c r="BI25" s="108"/>
      <c r="BJ25" s="108"/>
      <c r="BK25" s="107"/>
      <c r="BL25" s="108"/>
      <c r="BM25" s="108"/>
      <c r="BN25" s="108"/>
      <c r="BO25" s="107"/>
      <c r="BP25" s="108"/>
      <c r="BQ25" s="107"/>
      <c r="BR25" s="108"/>
      <c r="BS25" s="108"/>
      <c r="BT25" s="108"/>
      <c r="BU25" s="108"/>
      <c r="BV25" s="109"/>
      <c r="BW25" s="108"/>
      <c r="BX25" s="108"/>
    </row>
    <row r="26" spans="1:76" s="98" customFormat="1" ht="15">
      <c r="A26" s="91">
        <v>25</v>
      </c>
      <c r="B26" s="91" t="s">
        <v>34</v>
      </c>
      <c r="C26" s="91" t="s">
        <v>60</v>
      </c>
      <c r="D26" s="98" t="s">
        <v>108</v>
      </c>
      <c r="E26" s="99" t="s">
        <v>144</v>
      </c>
      <c r="F26" s="91" t="s">
        <v>59</v>
      </c>
      <c r="G26" s="100">
        <v>41704</v>
      </c>
      <c r="H26" s="100"/>
      <c r="I26" s="100">
        <v>41949</v>
      </c>
      <c r="J26" s="101">
        <v>42060</v>
      </c>
      <c r="K26" s="94" t="s">
        <v>126</v>
      </c>
      <c r="L26" s="95">
        <f t="shared" si="0"/>
        <v>356</v>
      </c>
      <c r="M26" s="95">
        <v>654</v>
      </c>
      <c r="N26" s="95">
        <v>714</v>
      </c>
      <c r="O26" s="95">
        <v>716</v>
      </c>
      <c r="P26" s="102">
        <f t="shared" si="1"/>
        <v>715</v>
      </c>
      <c r="Q26" s="103"/>
      <c r="R26" s="102"/>
      <c r="S26" s="103"/>
      <c r="T26" s="104"/>
      <c r="U26" s="103"/>
      <c r="V26" s="119">
        <v>900</v>
      </c>
      <c r="W26" s="102">
        <v>926</v>
      </c>
      <c r="X26" s="103">
        <f t="shared" si="12"/>
        <v>913</v>
      </c>
      <c r="Y26" s="104">
        <f t="shared" si="2"/>
        <v>2.5646067415730336</v>
      </c>
      <c r="Z26" s="103">
        <f t="shared" si="3"/>
        <v>198</v>
      </c>
      <c r="AA26" s="105">
        <f t="shared" si="4"/>
        <v>1.7678571428571428</v>
      </c>
      <c r="AB26" s="105">
        <v>49.5</v>
      </c>
      <c r="AC26" s="106">
        <f t="shared" si="13"/>
        <v>5.425276720000001</v>
      </c>
      <c r="AD26" s="118">
        <v>11.1934</v>
      </c>
      <c r="AE26" s="105">
        <f t="shared" si="14"/>
        <v>1.2260021905805039</v>
      </c>
      <c r="AF26" s="118">
        <v>0.086642</v>
      </c>
      <c r="AG26" s="118">
        <v>3.07464</v>
      </c>
      <c r="AH26" s="112">
        <v>35</v>
      </c>
      <c r="AI26" s="103">
        <v>3</v>
      </c>
      <c r="AJ26" s="103">
        <v>5</v>
      </c>
      <c r="AK26" s="112">
        <v>14</v>
      </c>
      <c r="AL26" s="112">
        <v>12</v>
      </c>
      <c r="AM26" s="105">
        <f t="shared" si="5"/>
        <v>168</v>
      </c>
      <c r="AN26" s="105">
        <f t="shared" si="6"/>
        <v>48.03959627329192</v>
      </c>
      <c r="AO26" s="104">
        <f t="shared" si="7"/>
        <v>93.58795347942778</v>
      </c>
      <c r="AP26" s="105">
        <f t="shared" si="8"/>
        <v>91.92138858684709</v>
      </c>
      <c r="AQ26" s="104">
        <f t="shared" si="9"/>
        <v>125.49551020408163</v>
      </c>
      <c r="AR26" s="105">
        <f t="shared" si="10"/>
        <v>105.10510510510511</v>
      </c>
      <c r="AS26" s="105">
        <f t="shared" si="11"/>
        <v>83.2505641500299</v>
      </c>
      <c r="AT26" s="91"/>
      <c r="AU26" s="91"/>
      <c r="AV26" s="91"/>
      <c r="AW26" s="107"/>
      <c r="AX26" s="108"/>
      <c r="AY26" s="108"/>
      <c r="AZ26" s="108"/>
      <c r="BA26" s="108"/>
      <c r="BB26" s="107"/>
      <c r="BC26" s="108"/>
      <c r="BD26" s="108"/>
      <c r="BE26" s="107"/>
      <c r="BF26" s="108"/>
      <c r="BG26" s="108"/>
      <c r="BH26" s="108"/>
      <c r="BI26" s="108"/>
      <c r="BJ26" s="108"/>
      <c r="BK26" s="107"/>
      <c r="BL26" s="108"/>
      <c r="BM26" s="108"/>
      <c r="BN26" s="108"/>
      <c r="BO26" s="107"/>
      <c r="BP26" s="108"/>
      <c r="BQ26" s="107"/>
      <c r="BR26" s="108"/>
      <c r="BS26" s="108"/>
      <c r="BT26" s="108"/>
      <c r="BU26" s="108"/>
      <c r="BV26" s="109"/>
      <c r="BW26" s="108"/>
      <c r="BX26" s="108"/>
    </row>
    <row r="27" spans="1:76" s="91" customFormat="1" ht="15">
      <c r="A27" s="91">
        <v>26</v>
      </c>
      <c r="B27" s="91" t="s">
        <v>54</v>
      </c>
      <c r="C27" s="91" t="s">
        <v>41</v>
      </c>
      <c r="D27" s="98" t="s">
        <v>109</v>
      </c>
      <c r="E27" s="115" t="s">
        <v>92</v>
      </c>
      <c r="F27" s="91" t="s">
        <v>59</v>
      </c>
      <c r="G27" s="100">
        <v>41566</v>
      </c>
      <c r="H27" s="100"/>
      <c r="I27" s="100">
        <v>41949</v>
      </c>
      <c r="J27" s="101">
        <v>42060</v>
      </c>
      <c r="K27" s="94" t="s">
        <v>127</v>
      </c>
      <c r="L27" s="95">
        <f t="shared" si="0"/>
        <v>494</v>
      </c>
      <c r="M27" s="95">
        <v>1015</v>
      </c>
      <c r="N27" s="95">
        <v>1125</v>
      </c>
      <c r="O27" s="95">
        <v>1075</v>
      </c>
      <c r="P27" s="102">
        <f t="shared" si="1"/>
        <v>1100</v>
      </c>
      <c r="Q27" s="103"/>
      <c r="R27" s="102"/>
      <c r="S27" s="103"/>
      <c r="T27" s="104"/>
      <c r="U27" s="103"/>
      <c r="V27" s="119">
        <v>1320</v>
      </c>
      <c r="W27" s="103">
        <v>1325</v>
      </c>
      <c r="X27" s="103">
        <f t="shared" si="12"/>
        <v>1322.5</v>
      </c>
      <c r="Y27" s="104">
        <f t="shared" si="2"/>
        <v>2.6771255060728745</v>
      </c>
      <c r="Z27" s="103">
        <f t="shared" si="3"/>
        <v>222.5</v>
      </c>
      <c r="AA27" s="105">
        <f t="shared" si="4"/>
        <v>1.9866071428571428</v>
      </c>
      <c r="AB27" s="105">
        <v>54.5</v>
      </c>
      <c r="AC27" s="106">
        <f t="shared" si="13"/>
        <v>6.353360520000001</v>
      </c>
      <c r="AD27" s="118">
        <v>15.2708</v>
      </c>
      <c r="AE27" s="105">
        <f t="shared" si="14"/>
        <v>1.1546918714555765</v>
      </c>
      <c r="AF27" s="118">
        <v>0.249882</v>
      </c>
      <c r="AG27" s="118">
        <v>4.13199</v>
      </c>
      <c r="AH27" s="106">
        <v>36.5</v>
      </c>
      <c r="AI27" s="103">
        <v>2</v>
      </c>
      <c r="AJ27" s="103">
        <v>6</v>
      </c>
      <c r="AK27" s="106">
        <v>15</v>
      </c>
      <c r="AL27" s="106">
        <v>12.5</v>
      </c>
      <c r="AM27" s="105">
        <f t="shared" si="5"/>
        <v>187.5</v>
      </c>
      <c r="AN27" s="105">
        <f t="shared" si="6"/>
        <v>53.983889751552795</v>
      </c>
      <c r="AO27" s="104">
        <f t="shared" si="7"/>
        <v>88.14441766836461</v>
      </c>
      <c r="AP27" s="105">
        <f t="shared" si="8"/>
        <v>95.95431921408152</v>
      </c>
      <c r="AQ27" s="104">
        <f t="shared" si="9"/>
        <v>168.65265306122447</v>
      </c>
      <c r="AR27" s="105">
        <f t="shared" si="10"/>
        <v>109.60960960960962</v>
      </c>
      <c r="AS27" s="105">
        <f t="shared" si="11"/>
        <v>91.97296770967733</v>
      </c>
      <c r="AW27" s="107"/>
      <c r="AX27" s="108"/>
      <c r="AY27" s="108"/>
      <c r="AZ27" s="108"/>
      <c r="BA27" s="108"/>
      <c r="BB27" s="107"/>
      <c r="BC27" s="108"/>
      <c r="BD27" s="108"/>
      <c r="BE27" s="95"/>
      <c r="BF27" s="108"/>
      <c r="BG27" s="108"/>
      <c r="BH27" s="108"/>
      <c r="BI27" s="108"/>
      <c r="BJ27" s="108"/>
      <c r="BK27" s="107"/>
      <c r="BL27" s="108"/>
      <c r="BM27" s="108"/>
      <c r="BN27" s="108"/>
      <c r="BO27" s="107"/>
      <c r="BP27" s="108"/>
      <c r="BQ27" s="107"/>
      <c r="BR27" s="108"/>
      <c r="BS27" s="108"/>
      <c r="BT27" s="108"/>
      <c r="BU27" s="108"/>
      <c r="BV27" s="109"/>
      <c r="BW27" s="108"/>
      <c r="BX27" s="108"/>
    </row>
    <row r="28" spans="1:76" s="91" customFormat="1" ht="15">
      <c r="A28" s="91">
        <v>27</v>
      </c>
      <c r="B28" s="91" t="s">
        <v>34</v>
      </c>
      <c r="C28" s="91" t="s">
        <v>60</v>
      </c>
      <c r="D28" s="98" t="s">
        <v>110</v>
      </c>
      <c r="E28" s="99" t="s">
        <v>93</v>
      </c>
      <c r="F28" s="91" t="s">
        <v>59</v>
      </c>
      <c r="G28" s="100">
        <v>41696</v>
      </c>
      <c r="H28" s="100"/>
      <c r="I28" s="100">
        <v>41949</v>
      </c>
      <c r="J28" s="101">
        <v>42060</v>
      </c>
      <c r="K28" s="94" t="s">
        <v>128</v>
      </c>
      <c r="L28" s="95">
        <f t="shared" si="0"/>
        <v>364</v>
      </c>
      <c r="M28" s="95">
        <v>774</v>
      </c>
      <c r="N28" s="95">
        <v>796</v>
      </c>
      <c r="O28" s="95">
        <v>786</v>
      </c>
      <c r="P28" s="102">
        <f t="shared" si="1"/>
        <v>791</v>
      </c>
      <c r="Q28" s="103"/>
      <c r="R28" s="102"/>
      <c r="S28" s="103"/>
      <c r="T28" s="104"/>
      <c r="U28" s="103"/>
      <c r="V28" s="119">
        <v>1020</v>
      </c>
      <c r="W28" s="102">
        <v>1035</v>
      </c>
      <c r="X28" s="103">
        <f t="shared" si="12"/>
        <v>1027.5</v>
      </c>
      <c r="Y28" s="104">
        <f t="shared" si="2"/>
        <v>2.822802197802198</v>
      </c>
      <c r="Z28" s="103">
        <f t="shared" si="3"/>
        <v>236.5</v>
      </c>
      <c r="AA28" s="105">
        <f t="shared" si="4"/>
        <v>2.111607142857143</v>
      </c>
      <c r="AB28" s="104">
        <v>51</v>
      </c>
      <c r="AC28" s="106">
        <f t="shared" si="13"/>
        <v>5.997777120000002</v>
      </c>
      <c r="AD28" s="118">
        <v>11.9217</v>
      </c>
      <c r="AE28" s="105">
        <f t="shared" si="14"/>
        <v>1.1602627737226276</v>
      </c>
      <c r="AF28" s="118">
        <v>0.242065</v>
      </c>
      <c r="AG28" s="118">
        <v>3.27569</v>
      </c>
      <c r="AH28" s="112">
        <v>36</v>
      </c>
      <c r="AI28" s="103">
        <v>2</v>
      </c>
      <c r="AJ28" s="103">
        <v>6</v>
      </c>
      <c r="AK28" s="106">
        <v>15</v>
      </c>
      <c r="AL28" s="112">
        <v>11</v>
      </c>
      <c r="AM28" s="105">
        <f t="shared" si="5"/>
        <v>165</v>
      </c>
      <c r="AN28" s="105">
        <f t="shared" si="6"/>
        <v>57.38062888198757</v>
      </c>
      <c r="AO28" s="104">
        <f t="shared" si="7"/>
        <v>88.56967738340668</v>
      </c>
      <c r="AP28" s="105">
        <f t="shared" si="8"/>
        <v>101.1757060144157</v>
      </c>
      <c r="AQ28" s="104">
        <f t="shared" si="9"/>
        <v>133.7016326530612</v>
      </c>
      <c r="AR28" s="105">
        <f t="shared" si="10"/>
        <v>108.10810810810811</v>
      </c>
      <c r="AS28" s="105">
        <f t="shared" si="11"/>
        <v>88.89835249703012</v>
      </c>
      <c r="AW28" s="95"/>
      <c r="BA28" s="113"/>
      <c r="BB28" s="95"/>
      <c r="BC28" s="113"/>
      <c r="BD28" s="113"/>
      <c r="BE28" s="95"/>
      <c r="BF28" s="95"/>
      <c r="BJ28" s="113"/>
      <c r="BK28" s="95"/>
      <c r="BL28" s="113"/>
      <c r="BM28" s="113"/>
      <c r="BR28" s="113"/>
      <c r="BV28" s="97"/>
      <c r="BW28" s="113"/>
      <c r="BX28" s="113"/>
    </row>
    <row r="29" spans="1:76" s="98" customFormat="1" ht="15">
      <c r="A29" s="91">
        <v>28</v>
      </c>
      <c r="B29" s="91" t="s">
        <v>34</v>
      </c>
      <c r="C29" s="91" t="s">
        <v>60</v>
      </c>
      <c r="D29" s="98" t="s">
        <v>110</v>
      </c>
      <c r="E29" s="99" t="s">
        <v>94</v>
      </c>
      <c r="F29" s="91" t="s">
        <v>59</v>
      </c>
      <c r="G29" s="100">
        <v>41745</v>
      </c>
      <c r="H29" s="100"/>
      <c r="I29" s="100">
        <v>41949</v>
      </c>
      <c r="J29" s="101">
        <v>42060</v>
      </c>
      <c r="K29" s="94" t="s">
        <v>128</v>
      </c>
      <c r="L29" s="95">
        <f t="shared" si="0"/>
        <v>315</v>
      </c>
      <c r="M29" s="95">
        <v>590</v>
      </c>
      <c r="N29" s="95">
        <v>602</v>
      </c>
      <c r="O29" s="95">
        <v>600</v>
      </c>
      <c r="P29" s="102">
        <f t="shared" si="1"/>
        <v>601</v>
      </c>
      <c r="Q29" s="103"/>
      <c r="R29" s="102"/>
      <c r="S29" s="103"/>
      <c r="T29" s="104"/>
      <c r="U29" s="103"/>
      <c r="V29" s="119">
        <v>848</v>
      </c>
      <c r="W29" s="103">
        <v>864</v>
      </c>
      <c r="X29" s="103">
        <f t="shared" si="12"/>
        <v>856</v>
      </c>
      <c r="Y29" s="104">
        <f t="shared" si="2"/>
        <v>2.7174603174603176</v>
      </c>
      <c r="Z29" s="103">
        <f t="shared" si="3"/>
        <v>255</v>
      </c>
      <c r="AA29" s="105">
        <f t="shared" si="4"/>
        <v>2.2767857142857144</v>
      </c>
      <c r="AB29" s="105">
        <v>50</v>
      </c>
      <c r="AC29" s="106">
        <f t="shared" si="13"/>
        <v>6.22802375</v>
      </c>
      <c r="AD29" s="118">
        <v>10.5718</v>
      </c>
      <c r="AE29" s="105">
        <f t="shared" si="14"/>
        <v>1.2350233644859814</v>
      </c>
      <c r="AF29" s="118">
        <v>0.112591</v>
      </c>
      <c r="AG29" s="118">
        <v>2.80418</v>
      </c>
      <c r="AH29" s="112">
        <v>34</v>
      </c>
      <c r="AI29" s="103">
        <v>3</v>
      </c>
      <c r="AJ29" s="103">
        <v>6</v>
      </c>
      <c r="AK29" s="112">
        <v>15</v>
      </c>
      <c r="AL29" s="112">
        <v>11.5</v>
      </c>
      <c r="AM29" s="105">
        <f t="shared" si="5"/>
        <v>172.5</v>
      </c>
      <c r="AN29" s="105">
        <f t="shared" si="6"/>
        <v>61.869177018633536</v>
      </c>
      <c r="AO29" s="104">
        <f t="shared" si="7"/>
        <v>94.27659270885354</v>
      </c>
      <c r="AP29" s="105">
        <f t="shared" si="8"/>
        <v>97.40001137850601</v>
      </c>
      <c r="AQ29" s="104">
        <f t="shared" si="9"/>
        <v>114.45632653061224</v>
      </c>
      <c r="AR29" s="105">
        <f t="shared" si="10"/>
        <v>102.10210210210211</v>
      </c>
      <c r="AS29" s="105">
        <f t="shared" si="11"/>
        <v>87.3681919637957</v>
      </c>
      <c r="AT29" s="91"/>
      <c r="AU29" s="91"/>
      <c r="AV29" s="91"/>
      <c r="AW29" s="107"/>
      <c r="AX29" s="108"/>
      <c r="AY29" s="108"/>
      <c r="AZ29" s="108"/>
      <c r="BA29" s="108"/>
      <c r="BB29" s="107"/>
      <c r="BC29" s="108"/>
      <c r="BD29" s="108"/>
      <c r="BE29" s="95"/>
      <c r="BF29" s="108"/>
      <c r="BG29" s="108"/>
      <c r="BH29" s="108"/>
      <c r="BI29" s="108"/>
      <c r="BJ29" s="108"/>
      <c r="BK29" s="107"/>
      <c r="BL29" s="108"/>
      <c r="BM29" s="108"/>
      <c r="BN29" s="108"/>
      <c r="BO29" s="107"/>
      <c r="BP29" s="108"/>
      <c r="BQ29" s="107"/>
      <c r="BR29" s="108"/>
      <c r="BS29" s="108"/>
      <c r="BT29" s="108"/>
      <c r="BU29" s="108"/>
      <c r="BV29" s="109"/>
      <c r="BW29" s="108"/>
      <c r="BX29" s="108"/>
    </row>
    <row r="30" spans="1:76" s="91" customFormat="1" ht="15">
      <c r="A30" s="91">
        <v>29</v>
      </c>
      <c r="B30" s="91" t="s">
        <v>55</v>
      </c>
      <c r="C30" s="91" t="s">
        <v>56</v>
      </c>
      <c r="D30" s="98" t="s">
        <v>110</v>
      </c>
      <c r="E30" s="99" t="s">
        <v>95</v>
      </c>
      <c r="F30" s="91" t="s">
        <v>59</v>
      </c>
      <c r="G30" s="100">
        <v>41621</v>
      </c>
      <c r="H30" s="100"/>
      <c r="I30" s="100">
        <v>41949</v>
      </c>
      <c r="J30" s="101">
        <v>42060</v>
      </c>
      <c r="K30" s="94" t="s">
        <v>128</v>
      </c>
      <c r="L30" s="95">
        <f t="shared" si="0"/>
        <v>439</v>
      </c>
      <c r="M30" s="95">
        <v>982</v>
      </c>
      <c r="N30" s="95">
        <v>1015</v>
      </c>
      <c r="O30" s="95">
        <v>1030</v>
      </c>
      <c r="P30" s="102">
        <f t="shared" si="1"/>
        <v>1022.5</v>
      </c>
      <c r="Q30" s="103"/>
      <c r="R30" s="102"/>
      <c r="S30" s="103"/>
      <c r="T30" s="104"/>
      <c r="U30" s="103"/>
      <c r="V30" s="119">
        <v>1245</v>
      </c>
      <c r="W30" s="103">
        <v>1260</v>
      </c>
      <c r="X30" s="103">
        <f t="shared" si="12"/>
        <v>1252.5</v>
      </c>
      <c r="Y30" s="104">
        <f t="shared" si="2"/>
        <v>2.853075170842825</v>
      </c>
      <c r="Z30" s="103">
        <f t="shared" si="3"/>
        <v>230</v>
      </c>
      <c r="AA30" s="105">
        <f t="shared" si="4"/>
        <v>2.0535714285714284</v>
      </c>
      <c r="AB30" s="104">
        <v>53</v>
      </c>
      <c r="AC30" s="106">
        <f t="shared" si="13"/>
        <v>6.103707870000002</v>
      </c>
      <c r="AD30" s="118">
        <v>14.9551</v>
      </c>
      <c r="AE30" s="105">
        <f t="shared" si="14"/>
        <v>1.1940199600798402</v>
      </c>
      <c r="AF30" s="118">
        <v>0.199876</v>
      </c>
      <c r="AG30" s="118">
        <v>3.63278</v>
      </c>
      <c r="AH30" s="106">
        <v>36</v>
      </c>
      <c r="AI30" s="103">
        <v>2</v>
      </c>
      <c r="AJ30" s="103">
        <v>6</v>
      </c>
      <c r="AK30" s="106">
        <v>15.5</v>
      </c>
      <c r="AL30" s="106">
        <v>12</v>
      </c>
      <c r="AM30" s="105">
        <f t="shared" si="5"/>
        <v>186</v>
      </c>
      <c r="AN30" s="105">
        <f t="shared" si="6"/>
        <v>55.803571428571416</v>
      </c>
      <c r="AO30" s="104">
        <f t="shared" si="7"/>
        <v>91.14656183815573</v>
      </c>
      <c r="AP30" s="105">
        <f t="shared" si="8"/>
        <v>102.26075881157077</v>
      </c>
      <c r="AQ30" s="104">
        <f t="shared" si="9"/>
        <v>148.27673469387753</v>
      </c>
      <c r="AR30" s="105">
        <f t="shared" si="10"/>
        <v>108.10810810810811</v>
      </c>
      <c r="AS30" s="105">
        <f t="shared" si="11"/>
        <v>91.26503514483773</v>
      </c>
      <c r="AW30" s="107"/>
      <c r="AX30" s="108"/>
      <c r="AY30" s="108"/>
      <c r="AZ30" s="108"/>
      <c r="BA30" s="108"/>
      <c r="BB30" s="107"/>
      <c r="BC30" s="108"/>
      <c r="BD30" s="108"/>
      <c r="BE30" s="107"/>
      <c r="BF30" s="108"/>
      <c r="BG30" s="108"/>
      <c r="BH30" s="108"/>
      <c r="BI30" s="108"/>
      <c r="BJ30" s="108"/>
      <c r="BK30" s="107"/>
      <c r="BL30" s="108"/>
      <c r="BM30" s="108"/>
      <c r="BN30" s="108"/>
      <c r="BO30" s="107"/>
      <c r="BP30" s="108"/>
      <c r="BQ30" s="107"/>
      <c r="BR30" s="108"/>
      <c r="BS30" s="108"/>
      <c r="BT30" s="108"/>
      <c r="BU30" s="108"/>
      <c r="BV30" s="109"/>
      <c r="BW30" s="108"/>
      <c r="BX30" s="108"/>
    </row>
    <row r="31" spans="1:76" s="91" customFormat="1" ht="15">
      <c r="A31" s="91">
        <v>30</v>
      </c>
      <c r="B31" s="91" t="s">
        <v>34</v>
      </c>
      <c r="C31" s="91" t="s">
        <v>60</v>
      </c>
      <c r="D31" s="98" t="s">
        <v>110</v>
      </c>
      <c r="E31" s="99" t="s">
        <v>96</v>
      </c>
      <c r="F31" s="91" t="s">
        <v>138</v>
      </c>
      <c r="G31" s="114">
        <v>41702</v>
      </c>
      <c r="H31" s="100"/>
      <c r="I31" s="100">
        <v>41949</v>
      </c>
      <c r="J31" s="101">
        <v>42060</v>
      </c>
      <c r="K31" s="94" t="s">
        <v>128</v>
      </c>
      <c r="L31" s="95">
        <f t="shared" si="0"/>
        <v>358</v>
      </c>
      <c r="M31" s="107">
        <v>706</v>
      </c>
      <c r="N31" s="95">
        <v>734</v>
      </c>
      <c r="O31" s="95">
        <v>748</v>
      </c>
      <c r="P31" s="102">
        <f t="shared" si="1"/>
        <v>741</v>
      </c>
      <c r="Q31" s="103"/>
      <c r="R31" s="102"/>
      <c r="S31" s="103"/>
      <c r="T31" s="104"/>
      <c r="U31" s="103"/>
      <c r="V31" s="119">
        <v>1045</v>
      </c>
      <c r="W31" s="102">
        <v>1035</v>
      </c>
      <c r="X31" s="103">
        <f t="shared" si="12"/>
        <v>1040</v>
      </c>
      <c r="Y31" s="104">
        <f t="shared" si="2"/>
        <v>2.905027932960894</v>
      </c>
      <c r="Z31" s="103">
        <f t="shared" si="3"/>
        <v>299</v>
      </c>
      <c r="AA31" s="105">
        <f t="shared" si="4"/>
        <v>2.669642857142857</v>
      </c>
      <c r="AB31" s="105">
        <v>50</v>
      </c>
      <c r="AC31" s="106">
        <f t="shared" si="13"/>
        <v>5.5949916800000015</v>
      </c>
      <c r="AD31" s="118">
        <v>12.592</v>
      </c>
      <c r="AE31" s="105">
        <f t="shared" si="14"/>
        <v>1.2107692307692308</v>
      </c>
      <c r="AF31" s="118">
        <v>0.174562</v>
      </c>
      <c r="AG31" s="118">
        <v>3.8684</v>
      </c>
      <c r="AH31" s="112">
        <v>42.5</v>
      </c>
      <c r="AI31" s="103">
        <v>3</v>
      </c>
      <c r="AJ31" s="103">
        <v>6</v>
      </c>
      <c r="AK31" s="112">
        <v>14.5</v>
      </c>
      <c r="AL31" s="112">
        <v>12</v>
      </c>
      <c r="AM31" s="105">
        <f t="shared" si="5"/>
        <v>174</v>
      </c>
      <c r="AN31" s="105">
        <f t="shared" si="6"/>
        <v>72.54464285714286</v>
      </c>
      <c r="AO31" s="104">
        <f t="shared" si="7"/>
        <v>92.42513211978861</v>
      </c>
      <c r="AP31" s="105">
        <f t="shared" si="8"/>
        <v>104.12286498067719</v>
      </c>
      <c r="AQ31" s="104">
        <f t="shared" si="9"/>
        <v>157.8938775510204</v>
      </c>
      <c r="AR31" s="105">
        <f t="shared" si="10"/>
        <v>127.62762762762765</v>
      </c>
      <c r="AS31" s="105">
        <f t="shared" si="11"/>
        <v>101.14706881550899</v>
      </c>
      <c r="AW31" s="107"/>
      <c r="AX31" s="108"/>
      <c r="AY31" s="108"/>
      <c r="AZ31" s="108"/>
      <c r="BA31" s="108"/>
      <c r="BB31" s="107"/>
      <c r="BC31" s="108"/>
      <c r="BD31" s="108"/>
      <c r="BE31" s="107"/>
      <c r="BF31" s="108"/>
      <c r="BG31" s="108"/>
      <c r="BH31" s="108"/>
      <c r="BI31" s="108"/>
      <c r="BJ31" s="108"/>
      <c r="BK31" s="107"/>
      <c r="BL31" s="108"/>
      <c r="BM31" s="108"/>
      <c r="BN31" s="108"/>
      <c r="BO31" s="107"/>
      <c r="BP31" s="108"/>
      <c r="BQ31" s="107"/>
      <c r="BR31" s="108"/>
      <c r="BS31" s="108"/>
      <c r="BT31" s="108"/>
      <c r="BU31" s="108"/>
      <c r="BV31" s="109"/>
      <c r="BW31" s="108"/>
      <c r="BX31" s="108"/>
    </row>
    <row r="32" spans="1:76" s="91" customFormat="1" ht="15">
      <c r="A32" s="91">
        <v>31</v>
      </c>
      <c r="B32" s="91" t="s">
        <v>34</v>
      </c>
      <c r="C32" s="91" t="s">
        <v>60</v>
      </c>
      <c r="D32" s="98" t="s">
        <v>110</v>
      </c>
      <c r="E32" s="99" t="s">
        <v>97</v>
      </c>
      <c r="F32" s="91" t="s">
        <v>59</v>
      </c>
      <c r="G32" s="100">
        <v>41673</v>
      </c>
      <c r="H32" s="100"/>
      <c r="I32" s="100">
        <v>41949</v>
      </c>
      <c r="J32" s="101">
        <v>42060</v>
      </c>
      <c r="K32" s="94" t="s">
        <v>128</v>
      </c>
      <c r="L32" s="95">
        <f t="shared" si="0"/>
        <v>387</v>
      </c>
      <c r="M32" s="95">
        <v>858</v>
      </c>
      <c r="N32" s="95">
        <v>906</v>
      </c>
      <c r="O32" s="95">
        <v>918</v>
      </c>
      <c r="P32" s="102">
        <f t="shared" si="1"/>
        <v>912</v>
      </c>
      <c r="Q32" s="103"/>
      <c r="R32" s="102"/>
      <c r="S32" s="103"/>
      <c r="T32" s="104"/>
      <c r="U32" s="103"/>
      <c r="V32" s="119">
        <v>978</v>
      </c>
      <c r="W32" s="103">
        <v>982</v>
      </c>
      <c r="X32" s="103">
        <f t="shared" si="12"/>
        <v>980</v>
      </c>
      <c r="Y32" s="104">
        <f t="shared" si="2"/>
        <v>2.5322997416020674</v>
      </c>
      <c r="Z32" s="103">
        <f t="shared" si="3"/>
        <v>68</v>
      </c>
      <c r="AA32" s="105">
        <f t="shared" si="4"/>
        <v>0.6071428571428571</v>
      </c>
      <c r="AB32" s="104">
        <v>50.5</v>
      </c>
      <c r="AC32" s="106">
        <f t="shared" si="13"/>
        <v>5.496206930000002</v>
      </c>
      <c r="AD32" s="118">
        <v>10.5791</v>
      </c>
      <c r="AE32" s="105">
        <f t="shared" si="14"/>
        <v>1.0795000000000001</v>
      </c>
      <c r="AF32" s="118">
        <v>0.140728</v>
      </c>
      <c r="AG32" s="118">
        <v>3.96098</v>
      </c>
      <c r="AH32" s="106">
        <v>36</v>
      </c>
      <c r="AI32" s="103">
        <v>2</v>
      </c>
      <c r="AJ32" s="103">
        <v>5</v>
      </c>
      <c r="AK32" s="106">
        <v>15</v>
      </c>
      <c r="AL32" s="106">
        <v>12</v>
      </c>
      <c r="AM32" s="105">
        <f t="shared" si="5"/>
        <v>180</v>
      </c>
      <c r="AN32" s="105">
        <f t="shared" si="6"/>
        <v>16.49844720496894</v>
      </c>
      <c r="AO32" s="104">
        <f t="shared" si="7"/>
        <v>82.40458015267176</v>
      </c>
      <c r="AP32" s="105">
        <f t="shared" si="8"/>
        <v>90.76343159864041</v>
      </c>
      <c r="AQ32" s="104">
        <f t="shared" si="9"/>
        <v>161.67265306122448</v>
      </c>
      <c r="AR32" s="105">
        <f t="shared" si="10"/>
        <v>108.10810810810811</v>
      </c>
      <c r="AS32" s="105">
        <f t="shared" si="11"/>
        <v>75.46976764199604</v>
      </c>
      <c r="AW32" s="107"/>
      <c r="AX32" s="108"/>
      <c r="AY32" s="108"/>
      <c r="AZ32" s="108"/>
      <c r="BA32" s="108"/>
      <c r="BB32" s="107"/>
      <c r="BC32" s="108"/>
      <c r="BD32" s="108"/>
      <c r="BE32" s="95"/>
      <c r="BF32" s="108"/>
      <c r="BG32" s="108"/>
      <c r="BH32" s="108"/>
      <c r="BI32" s="108"/>
      <c r="BJ32" s="108"/>
      <c r="BK32" s="107"/>
      <c r="BL32" s="108"/>
      <c r="BM32" s="108"/>
      <c r="BN32" s="108"/>
      <c r="BO32" s="107"/>
      <c r="BP32" s="108"/>
      <c r="BQ32" s="107"/>
      <c r="BR32" s="108"/>
      <c r="BS32" s="108"/>
      <c r="BT32" s="108"/>
      <c r="BU32" s="108"/>
      <c r="BV32" s="109"/>
      <c r="BW32" s="108"/>
      <c r="BX32" s="108"/>
    </row>
    <row r="33" spans="1:76" s="91" customFormat="1" ht="15">
      <c r="A33" s="91">
        <v>32</v>
      </c>
      <c r="B33" s="91" t="s">
        <v>55</v>
      </c>
      <c r="C33" s="91" t="s">
        <v>56</v>
      </c>
      <c r="D33" s="98" t="s">
        <v>110</v>
      </c>
      <c r="E33" s="115" t="s">
        <v>98</v>
      </c>
      <c r="F33" s="91" t="s">
        <v>138</v>
      </c>
      <c r="G33" s="100">
        <v>41628</v>
      </c>
      <c r="H33" s="100"/>
      <c r="I33" s="100">
        <v>41949</v>
      </c>
      <c r="J33" s="101">
        <v>42060</v>
      </c>
      <c r="K33" s="94" t="s">
        <v>128</v>
      </c>
      <c r="L33" s="95">
        <f t="shared" si="0"/>
        <v>432</v>
      </c>
      <c r="M33" s="95">
        <v>966</v>
      </c>
      <c r="N33" s="95">
        <v>1040</v>
      </c>
      <c r="O33" s="95">
        <v>1015</v>
      </c>
      <c r="P33" s="102">
        <f t="shared" si="1"/>
        <v>1027.5</v>
      </c>
      <c r="Q33" s="103"/>
      <c r="R33" s="102"/>
      <c r="S33" s="103"/>
      <c r="T33" s="104"/>
      <c r="U33" s="103"/>
      <c r="V33" s="119">
        <v>1435</v>
      </c>
      <c r="W33" s="102">
        <v>1465</v>
      </c>
      <c r="X33" s="103">
        <f t="shared" si="12"/>
        <v>1450</v>
      </c>
      <c r="Y33" s="104">
        <f t="shared" si="2"/>
        <v>3.3564814814814814</v>
      </c>
      <c r="Z33" s="103">
        <f t="shared" si="3"/>
        <v>422.5</v>
      </c>
      <c r="AA33" s="105">
        <f t="shared" si="4"/>
        <v>3.7723214285714284</v>
      </c>
      <c r="AB33" s="105">
        <v>52.5</v>
      </c>
      <c r="AC33" s="106">
        <f t="shared" si="13"/>
        <v>5.95335248</v>
      </c>
      <c r="AD33" s="118">
        <v>17.3336</v>
      </c>
      <c r="AE33" s="105">
        <f t="shared" si="14"/>
        <v>1.1954206896551725</v>
      </c>
      <c r="AF33" s="118">
        <v>0.292763</v>
      </c>
      <c r="AG33" s="118">
        <v>3.86917</v>
      </c>
      <c r="AH33" s="112">
        <v>43</v>
      </c>
      <c r="AI33" s="103">
        <v>1</v>
      </c>
      <c r="AJ33" s="103">
        <v>7</v>
      </c>
      <c r="AK33" s="112">
        <v>15</v>
      </c>
      <c r="AL33" s="112">
        <v>12</v>
      </c>
      <c r="AM33" s="105">
        <f t="shared" si="5"/>
        <v>180</v>
      </c>
      <c r="AN33" s="105">
        <f t="shared" si="6"/>
        <v>102.5087344720497</v>
      </c>
      <c r="AO33" s="104">
        <f t="shared" si="7"/>
        <v>91.25348775993683</v>
      </c>
      <c r="AP33" s="105">
        <f t="shared" si="8"/>
        <v>120.30399575202442</v>
      </c>
      <c r="AQ33" s="104">
        <f t="shared" si="9"/>
        <v>157.92530612244897</v>
      </c>
      <c r="AR33" s="105">
        <f t="shared" si="10"/>
        <v>129.12912912912915</v>
      </c>
      <c r="AS33" s="105">
        <f t="shared" si="11"/>
        <v>114.79126259888992</v>
      </c>
      <c r="AW33" s="107"/>
      <c r="AX33" s="108"/>
      <c r="AY33" s="108"/>
      <c r="AZ33" s="108"/>
      <c r="BA33" s="108"/>
      <c r="BB33" s="107"/>
      <c r="BC33" s="108"/>
      <c r="BD33" s="108"/>
      <c r="BE33" s="95"/>
      <c r="BF33" s="108"/>
      <c r="BG33" s="108"/>
      <c r="BH33" s="108"/>
      <c r="BI33" s="108"/>
      <c r="BJ33" s="108"/>
      <c r="BK33" s="107"/>
      <c r="BL33" s="108"/>
      <c r="BM33" s="108"/>
      <c r="BN33" s="108"/>
      <c r="BO33" s="107"/>
      <c r="BP33" s="108"/>
      <c r="BQ33" s="107"/>
      <c r="BR33" s="108"/>
      <c r="BS33" s="108"/>
      <c r="BT33" s="108"/>
      <c r="BU33" s="108"/>
      <c r="BV33" s="109"/>
      <c r="BW33" s="108"/>
      <c r="BX33" s="108"/>
    </row>
    <row r="34" spans="1:76" s="91" customFormat="1" ht="15">
      <c r="A34" s="91">
        <v>33</v>
      </c>
      <c r="B34" s="91" t="s">
        <v>34</v>
      </c>
      <c r="C34" s="91" t="s">
        <v>60</v>
      </c>
      <c r="D34" s="98" t="s">
        <v>110</v>
      </c>
      <c r="E34" s="99" t="s">
        <v>99</v>
      </c>
      <c r="F34" s="91" t="s">
        <v>59</v>
      </c>
      <c r="G34" s="100">
        <v>41747</v>
      </c>
      <c r="H34" s="100"/>
      <c r="I34" s="100">
        <v>41949</v>
      </c>
      <c r="J34" s="101">
        <v>42060</v>
      </c>
      <c r="K34" s="94" t="s">
        <v>128</v>
      </c>
      <c r="L34" s="95">
        <f t="shared" si="0"/>
        <v>313</v>
      </c>
      <c r="M34" s="95">
        <v>588</v>
      </c>
      <c r="N34" s="95">
        <v>628</v>
      </c>
      <c r="O34" s="95">
        <v>626</v>
      </c>
      <c r="P34" s="102">
        <f t="shared" si="1"/>
        <v>627</v>
      </c>
      <c r="Q34" s="103"/>
      <c r="R34" s="102"/>
      <c r="S34" s="103"/>
      <c r="T34" s="104"/>
      <c r="U34" s="103"/>
      <c r="V34" s="119">
        <v>974</v>
      </c>
      <c r="W34" s="103">
        <v>980</v>
      </c>
      <c r="X34" s="103">
        <f t="shared" si="12"/>
        <v>977</v>
      </c>
      <c r="Y34" s="104">
        <f t="shared" si="2"/>
        <v>3.121405750798722</v>
      </c>
      <c r="Z34" s="103">
        <f t="shared" si="3"/>
        <v>350</v>
      </c>
      <c r="AA34" s="105">
        <f t="shared" si="4"/>
        <v>3.125</v>
      </c>
      <c r="AB34" s="104">
        <v>51.5</v>
      </c>
      <c r="AC34" s="106">
        <f t="shared" si="13"/>
        <v>6.95816643</v>
      </c>
      <c r="AD34" s="118">
        <v>11.0018</v>
      </c>
      <c r="AE34" s="105">
        <f t="shared" si="14"/>
        <v>1.1260798362333675</v>
      </c>
      <c r="AF34" s="118">
        <v>0.186805</v>
      </c>
      <c r="AG34" s="118">
        <v>3.78813</v>
      </c>
      <c r="AH34" s="106">
        <v>34</v>
      </c>
      <c r="AI34" s="103">
        <v>3</v>
      </c>
      <c r="AJ34" s="103">
        <v>6</v>
      </c>
      <c r="AK34" s="106">
        <v>14</v>
      </c>
      <c r="AL34" s="106">
        <v>12</v>
      </c>
      <c r="AM34" s="105">
        <f t="shared" si="5"/>
        <v>168</v>
      </c>
      <c r="AN34" s="105">
        <f t="shared" si="6"/>
        <v>84.91847826086956</v>
      </c>
      <c r="AO34" s="104">
        <f t="shared" si="7"/>
        <v>85.9602928422418</v>
      </c>
      <c r="AP34" s="105">
        <f t="shared" si="8"/>
        <v>111.87834232253483</v>
      </c>
      <c r="AQ34" s="104">
        <f t="shared" si="9"/>
        <v>154.61755102040814</v>
      </c>
      <c r="AR34" s="105">
        <f t="shared" si="10"/>
        <v>102.10210210210211</v>
      </c>
      <c r="AS34" s="105">
        <f t="shared" si="11"/>
        <v>102.69203728753111</v>
      </c>
      <c r="AW34" s="107"/>
      <c r="AX34" s="108"/>
      <c r="AY34" s="108"/>
      <c r="AZ34" s="108"/>
      <c r="BA34" s="108"/>
      <c r="BB34" s="107"/>
      <c r="BC34" s="108"/>
      <c r="BD34" s="108"/>
      <c r="BE34" s="107"/>
      <c r="BF34" s="108"/>
      <c r="BG34" s="108"/>
      <c r="BH34" s="108"/>
      <c r="BI34" s="108"/>
      <c r="BJ34" s="108"/>
      <c r="BK34" s="107"/>
      <c r="BL34" s="108"/>
      <c r="BM34" s="108"/>
      <c r="BN34" s="108"/>
      <c r="BO34" s="107"/>
      <c r="BP34" s="108"/>
      <c r="BQ34" s="107"/>
      <c r="BR34" s="108"/>
      <c r="BS34" s="108"/>
      <c r="BT34" s="108"/>
      <c r="BU34" s="108"/>
      <c r="BV34" s="109"/>
      <c r="BW34" s="108"/>
      <c r="BX34" s="108"/>
    </row>
    <row r="35" spans="1:76" s="91" customFormat="1" ht="15">
      <c r="A35" s="91">
        <v>34</v>
      </c>
      <c r="B35" s="91" t="s">
        <v>34</v>
      </c>
      <c r="C35" s="91" t="s">
        <v>60</v>
      </c>
      <c r="D35" s="98" t="s">
        <v>110</v>
      </c>
      <c r="E35" s="99" t="s">
        <v>100</v>
      </c>
      <c r="F35" s="91" t="s">
        <v>59</v>
      </c>
      <c r="G35" s="100">
        <v>41750</v>
      </c>
      <c r="H35" s="100"/>
      <c r="I35" s="100">
        <v>41949</v>
      </c>
      <c r="J35" s="101">
        <v>42060</v>
      </c>
      <c r="K35" s="94" t="s">
        <v>128</v>
      </c>
      <c r="L35" s="95">
        <f t="shared" si="0"/>
        <v>310</v>
      </c>
      <c r="M35" s="107">
        <v>654</v>
      </c>
      <c r="N35" s="95">
        <v>708</v>
      </c>
      <c r="O35" s="95">
        <v>682</v>
      </c>
      <c r="P35" s="102">
        <f t="shared" si="1"/>
        <v>695</v>
      </c>
      <c r="Q35" s="103"/>
      <c r="R35" s="102"/>
      <c r="S35" s="103"/>
      <c r="T35" s="104"/>
      <c r="U35" s="103"/>
      <c r="V35" s="119">
        <v>1010</v>
      </c>
      <c r="W35" s="102">
        <v>1020</v>
      </c>
      <c r="X35" s="103">
        <f t="shared" si="12"/>
        <v>1015</v>
      </c>
      <c r="Y35" s="104">
        <f t="shared" si="2"/>
        <v>3.274193548387097</v>
      </c>
      <c r="Z35" s="103">
        <f t="shared" si="3"/>
        <v>320</v>
      </c>
      <c r="AA35" s="105">
        <f t="shared" si="4"/>
        <v>2.857142857142857</v>
      </c>
      <c r="AB35" s="105">
        <v>50</v>
      </c>
      <c r="AC35" s="106">
        <f t="shared" si="13"/>
        <v>6.282121000000001</v>
      </c>
      <c r="AD35" s="118">
        <v>11.8096</v>
      </c>
      <c r="AE35" s="105">
        <f t="shared" si="14"/>
        <v>1.1635073891625614</v>
      </c>
      <c r="AF35" s="118">
        <v>0.171664</v>
      </c>
      <c r="AG35" s="118">
        <v>3.7444</v>
      </c>
      <c r="AH35" s="112">
        <v>31</v>
      </c>
      <c r="AI35" s="103">
        <v>3</v>
      </c>
      <c r="AJ35" s="103">
        <v>6</v>
      </c>
      <c r="AK35" s="112">
        <v>15</v>
      </c>
      <c r="AL35" s="112">
        <v>11</v>
      </c>
      <c r="AM35" s="105">
        <f t="shared" si="5"/>
        <v>165</v>
      </c>
      <c r="AN35" s="105">
        <f t="shared" si="6"/>
        <v>77.63975155279503</v>
      </c>
      <c r="AO35" s="104">
        <f t="shared" si="7"/>
        <v>88.81735795134055</v>
      </c>
      <c r="AP35" s="105">
        <f t="shared" si="8"/>
        <v>117.35460746907158</v>
      </c>
      <c r="AQ35" s="104">
        <f t="shared" si="9"/>
        <v>152.83265306122448</v>
      </c>
      <c r="AR35" s="105">
        <f t="shared" si="10"/>
        <v>93.0930930930931</v>
      </c>
      <c r="AS35" s="105">
        <f t="shared" si="11"/>
        <v>100.64251339605367</v>
      </c>
      <c r="AW35" s="107"/>
      <c r="AX35" s="108"/>
      <c r="AY35" s="108"/>
      <c r="AZ35" s="108"/>
      <c r="BA35" s="108"/>
      <c r="BB35" s="107"/>
      <c r="BC35" s="108"/>
      <c r="BD35" s="108"/>
      <c r="BE35" s="107"/>
      <c r="BF35" s="108"/>
      <c r="BG35" s="108"/>
      <c r="BH35" s="108"/>
      <c r="BI35" s="108"/>
      <c r="BJ35" s="108"/>
      <c r="BK35" s="107"/>
      <c r="BL35" s="108"/>
      <c r="BM35" s="108"/>
      <c r="BN35" s="108"/>
      <c r="BO35" s="107"/>
      <c r="BP35" s="108"/>
      <c r="BQ35" s="107"/>
      <c r="BR35" s="108"/>
      <c r="BS35" s="108"/>
      <c r="BT35" s="108"/>
      <c r="BU35" s="108"/>
      <c r="BV35" s="109"/>
      <c r="BW35" s="108"/>
      <c r="BX35" s="108"/>
    </row>
    <row r="36" spans="1:76" s="91" customFormat="1" ht="15">
      <c r="A36" s="91">
        <v>35</v>
      </c>
      <c r="B36" s="91" t="s">
        <v>34</v>
      </c>
      <c r="C36" s="91" t="s">
        <v>60</v>
      </c>
      <c r="D36" s="98" t="s">
        <v>110</v>
      </c>
      <c r="E36" s="99" t="s">
        <v>101</v>
      </c>
      <c r="F36" s="91" t="s">
        <v>59</v>
      </c>
      <c r="G36" s="100">
        <v>41753</v>
      </c>
      <c r="H36" s="100"/>
      <c r="I36" s="100">
        <v>41949</v>
      </c>
      <c r="J36" s="101">
        <v>42060</v>
      </c>
      <c r="K36" s="94" t="s">
        <v>128</v>
      </c>
      <c r="L36" s="95">
        <f t="shared" si="0"/>
        <v>307</v>
      </c>
      <c r="M36" s="95">
        <v>612</v>
      </c>
      <c r="N36" s="95">
        <v>650</v>
      </c>
      <c r="O36" s="95">
        <v>648</v>
      </c>
      <c r="P36" s="102">
        <f t="shared" si="1"/>
        <v>649</v>
      </c>
      <c r="Q36" s="103"/>
      <c r="R36" s="102"/>
      <c r="S36" s="103"/>
      <c r="T36" s="104"/>
      <c r="U36" s="103"/>
      <c r="V36" s="119">
        <v>910</v>
      </c>
      <c r="W36" s="103">
        <v>934</v>
      </c>
      <c r="X36" s="103">
        <f t="shared" si="12"/>
        <v>922</v>
      </c>
      <c r="Y36" s="104">
        <f t="shared" si="2"/>
        <v>3.003257328990228</v>
      </c>
      <c r="Z36" s="103">
        <f t="shared" si="3"/>
        <v>273</v>
      </c>
      <c r="AA36" s="105">
        <f t="shared" si="4"/>
        <v>2.4375</v>
      </c>
      <c r="AB36" s="104">
        <v>51</v>
      </c>
      <c r="AC36" s="106">
        <f t="shared" si="13"/>
        <v>6.8411063300000015</v>
      </c>
      <c r="AD36" s="118">
        <v>11.6086</v>
      </c>
      <c r="AE36" s="105">
        <f t="shared" si="14"/>
        <v>1.2590672451193057</v>
      </c>
      <c r="AF36" s="118">
        <v>0.183001</v>
      </c>
      <c r="AG36" s="118">
        <v>3.59029</v>
      </c>
      <c r="AH36" s="106">
        <v>40</v>
      </c>
      <c r="AI36" s="103">
        <v>2</v>
      </c>
      <c r="AJ36" s="103">
        <v>6</v>
      </c>
      <c r="AK36" s="106">
        <v>15</v>
      </c>
      <c r="AL36" s="106">
        <v>11</v>
      </c>
      <c r="AM36" s="105">
        <f t="shared" si="5"/>
        <v>165</v>
      </c>
      <c r="AN36" s="105">
        <f t="shared" si="6"/>
        <v>66.23641304347827</v>
      </c>
      <c r="AO36" s="104">
        <f t="shared" si="7"/>
        <v>96.1120034442218</v>
      </c>
      <c r="AP36" s="105">
        <f t="shared" si="8"/>
        <v>107.64363186344903</v>
      </c>
      <c r="AQ36" s="104">
        <f t="shared" si="9"/>
        <v>146.54244897959182</v>
      </c>
      <c r="AR36" s="105">
        <f t="shared" si="10"/>
        <v>120.12012012012012</v>
      </c>
      <c r="AS36" s="105">
        <f t="shared" si="11"/>
        <v>97.92725098570233</v>
      </c>
      <c r="AW36" s="107"/>
      <c r="AX36" s="108"/>
      <c r="AY36" s="108"/>
      <c r="AZ36" s="108"/>
      <c r="BA36" s="108"/>
      <c r="BB36" s="107"/>
      <c r="BC36" s="108"/>
      <c r="BD36" s="108"/>
      <c r="BE36" s="95"/>
      <c r="BF36" s="108"/>
      <c r="BG36" s="108"/>
      <c r="BH36" s="108"/>
      <c r="BI36" s="108"/>
      <c r="BJ36" s="108"/>
      <c r="BK36" s="107"/>
      <c r="BL36" s="108"/>
      <c r="BM36" s="108"/>
      <c r="BN36" s="108"/>
      <c r="BO36" s="107"/>
      <c r="BP36" s="108"/>
      <c r="BQ36" s="107"/>
      <c r="BR36" s="108"/>
      <c r="BS36" s="108"/>
      <c r="BT36" s="108"/>
      <c r="BU36" s="108"/>
      <c r="BV36" s="109"/>
      <c r="BW36" s="108"/>
      <c r="BX36" s="108"/>
    </row>
    <row r="37" spans="1:76" s="91" customFormat="1" ht="15">
      <c r="A37" s="91">
        <v>36</v>
      </c>
      <c r="B37" s="91" t="s">
        <v>34</v>
      </c>
      <c r="C37" s="91" t="s">
        <v>60</v>
      </c>
      <c r="D37" s="98" t="s">
        <v>110</v>
      </c>
      <c r="E37" s="115" t="s">
        <v>102</v>
      </c>
      <c r="F37" s="91" t="s">
        <v>59</v>
      </c>
      <c r="G37" s="114">
        <v>41705</v>
      </c>
      <c r="H37" s="100"/>
      <c r="I37" s="100">
        <v>41949</v>
      </c>
      <c r="J37" s="101">
        <v>42060</v>
      </c>
      <c r="K37" s="94" t="s">
        <v>128</v>
      </c>
      <c r="L37" s="95">
        <f t="shared" si="0"/>
        <v>355</v>
      </c>
      <c r="M37" s="107">
        <v>776</v>
      </c>
      <c r="N37" s="95">
        <v>842</v>
      </c>
      <c r="O37" s="95">
        <v>848</v>
      </c>
      <c r="P37" s="102">
        <f t="shared" si="1"/>
        <v>845</v>
      </c>
      <c r="Q37" s="103"/>
      <c r="R37" s="102"/>
      <c r="S37" s="103"/>
      <c r="T37" s="104"/>
      <c r="U37" s="103"/>
      <c r="V37" s="119">
        <v>1195</v>
      </c>
      <c r="W37" s="102">
        <v>1195</v>
      </c>
      <c r="X37" s="103">
        <f t="shared" si="12"/>
        <v>1195</v>
      </c>
      <c r="Y37" s="104">
        <f t="shared" si="2"/>
        <v>3.3661971830985915</v>
      </c>
      <c r="Z37" s="103">
        <f t="shared" si="3"/>
        <v>350</v>
      </c>
      <c r="AA37" s="105">
        <f t="shared" si="4"/>
        <v>3.125</v>
      </c>
      <c r="AB37" s="105">
        <v>53.5</v>
      </c>
      <c r="AC37" s="106">
        <f t="shared" si="13"/>
        <v>7.348213750000002</v>
      </c>
      <c r="AD37" s="118">
        <v>13.2529</v>
      </c>
      <c r="AE37" s="105">
        <f t="shared" si="14"/>
        <v>1.109029288702929</v>
      </c>
      <c r="AF37" s="118">
        <v>0.180563</v>
      </c>
      <c r="AG37" s="118">
        <v>2.54479</v>
      </c>
      <c r="AH37" s="106">
        <v>36.5</v>
      </c>
      <c r="AI37" s="103">
        <v>3</v>
      </c>
      <c r="AJ37" s="103">
        <v>5</v>
      </c>
      <c r="AK37" s="106">
        <v>15.5</v>
      </c>
      <c r="AL37" s="106">
        <v>13</v>
      </c>
      <c r="AM37" s="105">
        <f t="shared" si="5"/>
        <v>201.5</v>
      </c>
      <c r="AN37" s="105">
        <f t="shared" si="6"/>
        <v>84.91847826086956</v>
      </c>
      <c r="AO37" s="104">
        <f t="shared" si="7"/>
        <v>84.65872432846786</v>
      </c>
      <c r="AP37" s="105">
        <f t="shared" si="8"/>
        <v>120.65222878489574</v>
      </c>
      <c r="AQ37" s="104">
        <f t="shared" si="9"/>
        <v>103.86897959183672</v>
      </c>
      <c r="AR37" s="105">
        <f t="shared" si="10"/>
        <v>109.60960960960962</v>
      </c>
      <c r="AS37" s="105">
        <f t="shared" si="11"/>
        <v>97.32496591371353</v>
      </c>
      <c r="AW37" s="107"/>
      <c r="AX37" s="108"/>
      <c r="AY37" s="108"/>
      <c r="AZ37" s="108"/>
      <c r="BA37" s="108"/>
      <c r="BB37" s="107"/>
      <c r="BC37" s="108"/>
      <c r="BD37" s="108"/>
      <c r="BE37" s="95"/>
      <c r="BF37" s="108"/>
      <c r="BG37" s="108"/>
      <c r="BH37" s="108"/>
      <c r="BI37" s="108"/>
      <c r="BJ37" s="108"/>
      <c r="BK37" s="107"/>
      <c r="BL37" s="108"/>
      <c r="BM37" s="108"/>
      <c r="BN37" s="108"/>
      <c r="BO37" s="107"/>
      <c r="BP37" s="108"/>
      <c r="BQ37" s="107"/>
      <c r="BR37" s="108"/>
      <c r="BS37" s="108"/>
      <c r="BT37" s="108"/>
      <c r="BU37" s="108"/>
      <c r="BV37" s="109"/>
      <c r="BW37" s="108"/>
      <c r="BX37" s="108"/>
    </row>
    <row r="38" spans="1:76" s="91" customFormat="1" ht="15">
      <c r="A38" s="91">
        <v>37</v>
      </c>
      <c r="B38" s="91" t="s">
        <v>34</v>
      </c>
      <c r="C38" s="91" t="s">
        <v>60</v>
      </c>
      <c r="D38" s="98" t="s">
        <v>130</v>
      </c>
      <c r="E38" s="99" t="s">
        <v>131</v>
      </c>
      <c r="F38" s="91" t="s">
        <v>134</v>
      </c>
      <c r="G38" s="100">
        <v>41710</v>
      </c>
      <c r="H38" s="100"/>
      <c r="I38" s="100">
        <v>41949</v>
      </c>
      <c r="J38" s="101">
        <v>42060</v>
      </c>
      <c r="K38" s="94" t="s">
        <v>132</v>
      </c>
      <c r="L38" s="95">
        <f t="shared" si="0"/>
        <v>350</v>
      </c>
      <c r="M38" s="117"/>
      <c r="N38" s="95">
        <v>630</v>
      </c>
      <c r="O38" s="95">
        <v>634</v>
      </c>
      <c r="P38" s="102">
        <f t="shared" si="1"/>
        <v>632</v>
      </c>
      <c r="Q38" s="103"/>
      <c r="R38" s="102"/>
      <c r="S38" s="103"/>
      <c r="T38" s="104"/>
      <c r="U38" s="103"/>
      <c r="V38" s="119">
        <v>968</v>
      </c>
      <c r="W38" s="102">
        <v>962</v>
      </c>
      <c r="X38" s="103">
        <f t="shared" si="12"/>
        <v>965</v>
      </c>
      <c r="Y38" s="104">
        <f t="shared" si="2"/>
        <v>2.757142857142857</v>
      </c>
      <c r="Z38" s="103">
        <f t="shared" si="3"/>
        <v>333</v>
      </c>
      <c r="AA38" s="105">
        <f t="shared" si="4"/>
        <v>2.9732142857142856</v>
      </c>
      <c r="AB38" s="105">
        <v>51</v>
      </c>
      <c r="AC38" s="106">
        <f t="shared" si="13"/>
        <v>5.599875000000001</v>
      </c>
      <c r="AD38" s="118">
        <v>11.2028</v>
      </c>
      <c r="AE38" s="105">
        <f t="shared" si="14"/>
        <v>1.1609119170984454</v>
      </c>
      <c r="AF38" s="118">
        <v>0.281876</v>
      </c>
      <c r="AG38" s="118">
        <v>4.26109</v>
      </c>
      <c r="AH38" s="106">
        <v>32</v>
      </c>
      <c r="AI38" s="103">
        <v>3</v>
      </c>
      <c r="AJ38" s="103">
        <v>6</v>
      </c>
      <c r="AK38" s="106">
        <v>15</v>
      </c>
      <c r="AL38" s="106">
        <v>10</v>
      </c>
      <c r="AM38" s="105">
        <f t="shared" si="5"/>
        <v>150</v>
      </c>
      <c r="AN38" s="105">
        <f t="shared" si="6"/>
        <v>80.79386645962731</v>
      </c>
      <c r="AO38" s="104">
        <f t="shared" si="7"/>
        <v>88.61923031285842</v>
      </c>
      <c r="AP38" s="105">
        <f t="shared" si="8"/>
        <v>98.82232462877624</v>
      </c>
      <c r="AQ38" s="104">
        <f t="shared" si="9"/>
        <v>173.92204081632653</v>
      </c>
      <c r="AR38" s="105">
        <f t="shared" si="10"/>
        <v>96.0960960960961</v>
      </c>
      <c r="AS38" s="105">
        <f t="shared" si="11"/>
        <v>101.46407998125508</v>
      </c>
      <c r="AW38" s="107"/>
      <c r="AX38" s="108"/>
      <c r="AY38" s="108"/>
      <c r="AZ38" s="108"/>
      <c r="BA38" s="108"/>
      <c r="BB38" s="107"/>
      <c r="BC38" s="108"/>
      <c r="BD38" s="108"/>
      <c r="BE38" s="107"/>
      <c r="BF38" s="108"/>
      <c r="BG38" s="108"/>
      <c r="BH38" s="108"/>
      <c r="BI38" s="108"/>
      <c r="BJ38" s="108"/>
      <c r="BK38" s="107"/>
      <c r="BL38" s="108"/>
      <c r="BM38" s="108"/>
      <c r="BN38" s="108"/>
      <c r="BO38" s="107"/>
      <c r="BP38" s="108"/>
      <c r="BQ38" s="107"/>
      <c r="BR38" s="108"/>
      <c r="BS38" s="108"/>
      <c r="BT38" s="108"/>
      <c r="BU38" s="108"/>
      <c r="BV38" s="109"/>
      <c r="BW38" s="108"/>
      <c r="BX38" s="108"/>
    </row>
    <row r="39" spans="5:76" s="10" customFormat="1" ht="12.75" outlineLevel="2">
      <c r="E39" s="31"/>
      <c r="G39" s="12"/>
      <c r="H39" s="12"/>
      <c r="I39" s="12"/>
      <c r="J39" s="38"/>
      <c r="K39" s="28"/>
      <c r="L39" s="13"/>
      <c r="M39" s="13"/>
      <c r="N39" s="13"/>
      <c r="O39" s="13"/>
      <c r="P39" s="43"/>
      <c r="Q39" s="44"/>
      <c r="R39" s="43"/>
      <c r="S39" s="44"/>
      <c r="T39" s="45"/>
      <c r="U39" s="44"/>
      <c r="V39" s="44"/>
      <c r="W39" s="43"/>
      <c r="X39" s="44"/>
      <c r="Y39" s="45"/>
      <c r="Z39" s="44"/>
      <c r="AA39" s="46"/>
      <c r="AB39" s="46"/>
      <c r="AC39" s="42"/>
      <c r="AD39" s="42"/>
      <c r="AE39" s="47"/>
      <c r="AF39" s="46"/>
      <c r="AG39" s="46"/>
      <c r="AH39" s="42"/>
      <c r="AI39" s="44"/>
      <c r="AJ39" s="44"/>
      <c r="AK39" s="42"/>
      <c r="AL39" s="42"/>
      <c r="AM39" s="46"/>
      <c r="AN39" s="46"/>
      <c r="AO39" s="45"/>
      <c r="AP39" s="46"/>
      <c r="AQ39" s="45"/>
      <c r="AR39" s="46"/>
      <c r="AS39" s="46"/>
      <c r="AW39" s="14"/>
      <c r="AX39" s="15"/>
      <c r="AY39" s="15"/>
      <c r="AZ39" s="15"/>
      <c r="BA39" s="15"/>
      <c r="BB39" s="14"/>
      <c r="BC39" s="15"/>
      <c r="BD39" s="15"/>
      <c r="BE39" s="13"/>
      <c r="BF39" s="15"/>
      <c r="BG39" s="15"/>
      <c r="BH39" s="15"/>
      <c r="BI39" s="15"/>
      <c r="BJ39" s="15"/>
      <c r="BK39" s="14"/>
      <c r="BL39" s="15"/>
      <c r="BM39" s="15"/>
      <c r="BN39" s="15"/>
      <c r="BO39" s="14"/>
      <c r="BP39" s="15"/>
      <c r="BQ39" s="14"/>
      <c r="BR39" s="15"/>
      <c r="BS39" s="15"/>
      <c r="BT39" s="15"/>
      <c r="BU39" s="15"/>
      <c r="BV39" s="16"/>
      <c r="BW39" s="15"/>
      <c r="BX39" s="15"/>
    </row>
    <row r="40" spans="5:76" s="20" customFormat="1" ht="12.75" outlineLevel="1">
      <c r="E40" s="49"/>
      <c r="G40" s="50"/>
      <c r="H40" s="50"/>
      <c r="I40" s="50"/>
      <c r="J40" s="51"/>
      <c r="K40" s="52"/>
      <c r="L40" s="53"/>
      <c r="M40" s="53"/>
      <c r="N40" s="53"/>
      <c r="O40" s="53"/>
      <c r="P40" s="54"/>
      <c r="Q40" s="55"/>
      <c r="R40" s="54"/>
      <c r="S40" s="55"/>
      <c r="T40" s="56"/>
      <c r="U40" s="55"/>
      <c r="V40" s="55"/>
      <c r="W40" s="54"/>
      <c r="X40" s="55"/>
      <c r="Y40" s="56"/>
      <c r="Z40" s="55"/>
      <c r="AA40" s="57"/>
      <c r="AB40" s="57"/>
      <c r="AC40" s="58"/>
      <c r="AD40" s="58"/>
      <c r="AE40" s="57"/>
      <c r="AF40" s="57"/>
      <c r="AG40" s="57"/>
      <c r="AH40" s="58"/>
      <c r="AI40" s="55"/>
      <c r="AJ40" s="55"/>
      <c r="AK40" s="58"/>
      <c r="AL40" s="58"/>
      <c r="AM40" s="57"/>
      <c r="AN40" s="57"/>
      <c r="AO40" s="56"/>
      <c r="AP40" s="57"/>
      <c r="AQ40" s="56"/>
      <c r="AR40" s="57"/>
      <c r="AS40" s="57"/>
      <c r="AW40" s="59"/>
      <c r="AX40" s="60"/>
      <c r="AY40" s="60"/>
      <c r="AZ40" s="60"/>
      <c r="BA40" s="60"/>
      <c r="BB40" s="59"/>
      <c r="BC40" s="60"/>
      <c r="BD40" s="60"/>
      <c r="BE40" s="53"/>
      <c r="BF40" s="60"/>
      <c r="BG40" s="60"/>
      <c r="BH40" s="60"/>
      <c r="BI40" s="60"/>
      <c r="BJ40" s="60"/>
      <c r="BK40" s="59"/>
      <c r="BL40" s="60"/>
      <c r="BM40" s="60"/>
      <c r="BN40" s="60"/>
      <c r="BO40" s="59"/>
      <c r="BP40" s="60"/>
      <c r="BQ40" s="59"/>
      <c r="BR40" s="60"/>
      <c r="BS40" s="60"/>
      <c r="BT40" s="60"/>
      <c r="BU40" s="60"/>
      <c r="BV40" s="61"/>
      <c r="BW40" s="60"/>
      <c r="BX40" s="60"/>
    </row>
    <row r="41" spans="4:76" s="10" customFormat="1" ht="12.75" outlineLevel="2">
      <c r="D41" s="11"/>
      <c r="E41" s="31"/>
      <c r="G41" s="12"/>
      <c r="H41" s="12"/>
      <c r="I41" s="12"/>
      <c r="J41" s="38"/>
      <c r="K41" s="28"/>
      <c r="L41" s="13"/>
      <c r="M41" s="13"/>
      <c r="N41" s="13"/>
      <c r="O41" s="13"/>
      <c r="P41" s="43"/>
      <c r="Q41" s="44"/>
      <c r="R41" s="43"/>
      <c r="S41" s="44"/>
      <c r="T41" s="45"/>
      <c r="U41" s="44"/>
      <c r="V41" s="44"/>
      <c r="W41" s="44"/>
      <c r="X41" s="44"/>
      <c r="Y41" s="45"/>
      <c r="Z41" s="44"/>
      <c r="AA41" s="46"/>
      <c r="AB41" s="45"/>
      <c r="AC41" s="42"/>
      <c r="AD41" s="42"/>
      <c r="AE41" s="47"/>
      <c r="AF41" s="46"/>
      <c r="AG41" s="46"/>
      <c r="AH41" s="48"/>
      <c r="AI41" s="44"/>
      <c r="AJ41" s="44"/>
      <c r="AK41" s="48"/>
      <c r="AL41" s="48"/>
      <c r="AM41" s="46"/>
      <c r="AN41" s="46"/>
      <c r="AO41" s="45"/>
      <c r="AP41" s="46"/>
      <c r="AQ41" s="45"/>
      <c r="AR41" s="46"/>
      <c r="AS41" s="46"/>
      <c r="AW41" s="14"/>
      <c r="AX41" s="15"/>
      <c r="AY41" s="15"/>
      <c r="AZ41" s="15"/>
      <c r="BA41" s="15"/>
      <c r="BB41" s="14"/>
      <c r="BC41" s="15"/>
      <c r="BD41" s="15"/>
      <c r="BE41" s="14"/>
      <c r="BF41" s="15"/>
      <c r="BG41" s="15"/>
      <c r="BH41" s="15"/>
      <c r="BI41" s="15"/>
      <c r="BJ41" s="15"/>
      <c r="BK41" s="14"/>
      <c r="BL41" s="15"/>
      <c r="BM41" s="15"/>
      <c r="BN41" s="15"/>
      <c r="BO41" s="14"/>
      <c r="BP41" s="15"/>
      <c r="BQ41" s="14"/>
      <c r="BR41" s="15"/>
      <c r="BS41" s="15"/>
      <c r="BT41" s="15"/>
      <c r="BU41" s="15"/>
      <c r="BV41" s="16"/>
      <c r="BW41" s="15"/>
      <c r="BX41" s="15"/>
    </row>
    <row r="42" spans="4:76" s="20" customFormat="1" ht="12.75" outlineLevel="1">
      <c r="D42" s="62"/>
      <c r="E42" s="49"/>
      <c r="G42" s="50"/>
      <c r="H42" s="50"/>
      <c r="I42" s="50"/>
      <c r="J42" s="51"/>
      <c r="K42" s="52"/>
      <c r="L42" s="53"/>
      <c r="M42" s="53"/>
      <c r="N42" s="53"/>
      <c r="O42" s="53"/>
      <c r="P42" s="54"/>
      <c r="Q42" s="55"/>
      <c r="R42" s="54"/>
      <c r="S42" s="55"/>
      <c r="T42" s="56"/>
      <c r="U42" s="55"/>
      <c r="V42" s="55"/>
      <c r="W42" s="55"/>
      <c r="X42" s="55"/>
      <c r="Y42" s="56"/>
      <c r="Z42" s="55"/>
      <c r="AA42" s="57"/>
      <c r="AB42" s="56"/>
      <c r="AC42" s="58"/>
      <c r="AD42" s="58"/>
      <c r="AE42" s="57"/>
      <c r="AF42" s="57"/>
      <c r="AG42" s="57"/>
      <c r="AH42" s="72"/>
      <c r="AI42" s="55"/>
      <c r="AJ42" s="55"/>
      <c r="AK42" s="72"/>
      <c r="AL42" s="72"/>
      <c r="AM42" s="57"/>
      <c r="AN42" s="57"/>
      <c r="AO42" s="56"/>
      <c r="AP42" s="57"/>
      <c r="AQ42" s="56"/>
      <c r="AR42" s="57"/>
      <c r="AS42" s="57"/>
      <c r="AW42" s="59"/>
      <c r="AX42" s="60"/>
      <c r="AY42" s="60"/>
      <c r="AZ42" s="60"/>
      <c r="BA42" s="60"/>
      <c r="BB42" s="59"/>
      <c r="BC42" s="60"/>
      <c r="BD42" s="60"/>
      <c r="BE42" s="59"/>
      <c r="BF42" s="60"/>
      <c r="BG42" s="60"/>
      <c r="BH42" s="60"/>
      <c r="BI42" s="60"/>
      <c r="BJ42" s="60"/>
      <c r="BK42" s="59"/>
      <c r="BL42" s="60"/>
      <c r="BM42" s="60"/>
      <c r="BN42" s="60"/>
      <c r="BO42" s="59"/>
      <c r="BP42" s="60"/>
      <c r="BQ42" s="59"/>
      <c r="BR42" s="60"/>
      <c r="BS42" s="60"/>
      <c r="BT42" s="60"/>
      <c r="BU42" s="60"/>
      <c r="BV42" s="61"/>
      <c r="BW42" s="60"/>
      <c r="BX42" s="60"/>
    </row>
    <row r="43" spans="4:76" s="10" customFormat="1" ht="12.75" outlineLevel="2">
      <c r="D43" s="11"/>
      <c r="E43" s="31"/>
      <c r="G43" s="17"/>
      <c r="H43" s="12"/>
      <c r="I43" s="12"/>
      <c r="J43" s="38"/>
      <c r="K43" s="28"/>
      <c r="L43" s="13"/>
      <c r="M43" s="39"/>
      <c r="N43" s="13"/>
      <c r="O43" s="13"/>
      <c r="P43" s="43"/>
      <c r="Q43" s="44"/>
      <c r="R43" s="43"/>
      <c r="S43" s="44"/>
      <c r="T43" s="45"/>
      <c r="U43" s="44"/>
      <c r="V43" s="43"/>
      <c r="W43" s="43"/>
      <c r="X43" s="44"/>
      <c r="Y43" s="45"/>
      <c r="Z43" s="44"/>
      <c r="AA43" s="46"/>
      <c r="AB43" s="46"/>
      <c r="AC43" s="42"/>
      <c r="AD43" s="41"/>
      <c r="AE43" s="47"/>
      <c r="AF43" s="47"/>
      <c r="AG43" s="47"/>
      <c r="AH43" s="42"/>
      <c r="AI43" s="44"/>
      <c r="AJ43" s="44"/>
      <c r="AK43" s="42"/>
      <c r="AL43" s="42"/>
      <c r="AM43" s="46"/>
      <c r="AN43" s="46"/>
      <c r="AO43" s="45"/>
      <c r="AP43" s="46"/>
      <c r="AQ43" s="45"/>
      <c r="AR43" s="46"/>
      <c r="AS43" s="46"/>
      <c r="AW43" s="14"/>
      <c r="AX43" s="15"/>
      <c r="AY43" s="15"/>
      <c r="AZ43" s="15"/>
      <c r="BA43" s="15"/>
      <c r="BB43" s="14"/>
      <c r="BC43" s="15"/>
      <c r="BD43" s="15"/>
      <c r="BE43" s="13"/>
      <c r="BF43" s="15"/>
      <c r="BG43" s="15"/>
      <c r="BH43" s="15"/>
      <c r="BI43" s="15"/>
      <c r="BJ43" s="15"/>
      <c r="BK43" s="14"/>
      <c r="BL43" s="15"/>
      <c r="BM43" s="15"/>
      <c r="BN43" s="15"/>
      <c r="BO43" s="14"/>
      <c r="BP43" s="15"/>
      <c r="BQ43" s="14"/>
      <c r="BR43" s="15"/>
      <c r="BS43" s="15"/>
      <c r="BT43" s="15"/>
      <c r="BU43" s="15"/>
      <c r="BV43" s="16"/>
      <c r="BW43" s="15"/>
      <c r="BX43" s="15"/>
    </row>
    <row r="44" spans="4:76" s="10" customFormat="1" ht="12.75" outlineLevel="2">
      <c r="D44" s="11"/>
      <c r="E44" s="31"/>
      <c r="G44" s="12"/>
      <c r="H44" s="12"/>
      <c r="I44" s="12"/>
      <c r="J44" s="38"/>
      <c r="K44" s="28"/>
      <c r="L44" s="13"/>
      <c r="M44" s="13"/>
      <c r="N44" s="13"/>
      <c r="O44" s="13"/>
      <c r="P44" s="43"/>
      <c r="Q44" s="44"/>
      <c r="R44" s="43"/>
      <c r="S44" s="44"/>
      <c r="T44" s="45"/>
      <c r="U44" s="44"/>
      <c r="V44" s="44"/>
      <c r="W44" s="43"/>
      <c r="X44" s="44"/>
      <c r="Y44" s="45"/>
      <c r="Z44" s="44"/>
      <c r="AA44" s="46"/>
      <c r="AB44" s="46"/>
      <c r="AC44" s="42"/>
      <c r="AD44" s="41"/>
      <c r="AE44" s="47"/>
      <c r="AF44" s="47"/>
      <c r="AG44" s="47"/>
      <c r="AH44" s="42"/>
      <c r="AI44" s="44"/>
      <c r="AJ44" s="44"/>
      <c r="AK44" s="42"/>
      <c r="AL44" s="42"/>
      <c r="AM44" s="46"/>
      <c r="AN44" s="46"/>
      <c r="AO44" s="45"/>
      <c r="AP44" s="46"/>
      <c r="AQ44" s="45"/>
      <c r="AR44" s="46"/>
      <c r="AS44" s="46"/>
      <c r="AW44" s="13"/>
      <c r="BA44" s="40"/>
      <c r="BB44" s="13"/>
      <c r="BC44" s="40"/>
      <c r="BD44" s="40"/>
      <c r="BE44" s="13"/>
      <c r="BF44" s="13"/>
      <c r="BJ44" s="40"/>
      <c r="BK44" s="13"/>
      <c r="BL44" s="40"/>
      <c r="BM44" s="40"/>
      <c r="BR44" s="40"/>
      <c r="BV44" s="36"/>
      <c r="BW44" s="40"/>
      <c r="BX44" s="40"/>
    </row>
    <row r="45" spans="4:76" s="10" customFormat="1" ht="12.75" outlineLevel="2">
      <c r="D45" s="11"/>
      <c r="E45" s="31"/>
      <c r="G45" s="12"/>
      <c r="H45" s="12"/>
      <c r="I45" s="12"/>
      <c r="J45" s="38"/>
      <c r="K45" s="28"/>
      <c r="L45" s="13"/>
      <c r="M45" s="13"/>
      <c r="N45" s="13"/>
      <c r="O45" s="13"/>
      <c r="P45" s="43"/>
      <c r="Q45" s="44"/>
      <c r="R45" s="43"/>
      <c r="S45" s="44"/>
      <c r="T45" s="45"/>
      <c r="U45" s="44"/>
      <c r="V45" s="44"/>
      <c r="W45" s="43"/>
      <c r="X45" s="44"/>
      <c r="Y45" s="45"/>
      <c r="Z45" s="44"/>
      <c r="AA45" s="46"/>
      <c r="AB45" s="46"/>
      <c r="AC45" s="42"/>
      <c r="AD45" s="41"/>
      <c r="AE45" s="47"/>
      <c r="AF45" s="47"/>
      <c r="AG45" s="47"/>
      <c r="AH45" s="42"/>
      <c r="AI45" s="44"/>
      <c r="AJ45" s="44"/>
      <c r="AK45" s="42"/>
      <c r="AL45" s="42"/>
      <c r="AM45" s="46"/>
      <c r="AN45" s="46"/>
      <c r="AO45" s="45"/>
      <c r="AP45" s="46"/>
      <c r="AQ45" s="45"/>
      <c r="AR45" s="46"/>
      <c r="AS45" s="46"/>
      <c r="AW45" s="13"/>
      <c r="BA45" s="40"/>
      <c r="BB45" s="13"/>
      <c r="BC45" s="40"/>
      <c r="BD45" s="40"/>
      <c r="BE45" s="13"/>
      <c r="BF45" s="13"/>
      <c r="BJ45" s="40"/>
      <c r="BK45" s="13"/>
      <c r="BL45" s="40"/>
      <c r="BM45" s="40"/>
      <c r="BR45" s="40"/>
      <c r="BV45" s="36"/>
      <c r="BW45" s="40"/>
      <c r="BX45" s="40"/>
    </row>
    <row r="46" spans="4:76" s="20" customFormat="1" ht="12.75" outlineLevel="1">
      <c r="D46" s="62"/>
      <c r="E46" s="49"/>
      <c r="G46" s="50"/>
      <c r="H46" s="50"/>
      <c r="I46" s="50"/>
      <c r="J46" s="51"/>
      <c r="K46" s="52"/>
      <c r="L46" s="53"/>
      <c r="M46" s="53"/>
      <c r="N46" s="53"/>
      <c r="O46" s="53"/>
      <c r="P46" s="54"/>
      <c r="Q46" s="55"/>
      <c r="R46" s="54"/>
      <c r="S46" s="55"/>
      <c r="T46" s="56"/>
      <c r="U46" s="55"/>
      <c r="V46" s="55"/>
      <c r="W46" s="54"/>
      <c r="X46" s="55"/>
      <c r="Y46" s="56"/>
      <c r="Z46" s="55"/>
      <c r="AA46" s="57"/>
      <c r="AB46" s="57"/>
      <c r="AC46" s="58"/>
      <c r="AD46" s="58"/>
      <c r="AE46" s="57"/>
      <c r="AF46" s="57"/>
      <c r="AG46" s="57"/>
      <c r="AH46" s="58"/>
      <c r="AI46" s="55"/>
      <c r="AJ46" s="55"/>
      <c r="AK46" s="58"/>
      <c r="AL46" s="58"/>
      <c r="AM46" s="57"/>
      <c r="AN46" s="57"/>
      <c r="AO46" s="56"/>
      <c r="AP46" s="57"/>
      <c r="AQ46" s="56"/>
      <c r="AR46" s="57"/>
      <c r="AS46" s="57"/>
      <c r="AW46" s="53"/>
      <c r="BA46" s="73"/>
      <c r="BB46" s="53"/>
      <c r="BC46" s="73"/>
      <c r="BD46" s="73"/>
      <c r="BE46" s="53"/>
      <c r="BF46" s="53"/>
      <c r="BJ46" s="73"/>
      <c r="BK46" s="53"/>
      <c r="BL46" s="73"/>
      <c r="BM46" s="73"/>
      <c r="BR46" s="73"/>
      <c r="BV46" s="69"/>
      <c r="BW46" s="73"/>
      <c r="BX46" s="73"/>
    </row>
    <row r="47" spans="4:76" s="10" customFormat="1" ht="12.75" outlineLevel="2">
      <c r="D47" s="11"/>
      <c r="E47" s="31"/>
      <c r="G47" s="12"/>
      <c r="H47" s="12"/>
      <c r="I47" s="12"/>
      <c r="J47" s="38"/>
      <c r="K47" s="28"/>
      <c r="L47" s="13"/>
      <c r="M47" s="28"/>
      <c r="N47" s="13"/>
      <c r="O47" s="13"/>
      <c r="P47" s="43"/>
      <c r="Q47" s="44"/>
      <c r="R47" s="43"/>
      <c r="S47" s="43"/>
      <c r="T47" s="46"/>
      <c r="U47" s="43"/>
      <c r="V47" s="43"/>
      <c r="W47" s="43"/>
      <c r="X47" s="44"/>
      <c r="Y47" s="45"/>
      <c r="Z47" s="44"/>
      <c r="AA47" s="46"/>
      <c r="AB47" s="46"/>
      <c r="AC47" s="42"/>
      <c r="AD47" s="41"/>
      <c r="AE47" s="47"/>
      <c r="AF47" s="47"/>
      <c r="AG47" s="47"/>
      <c r="AH47" s="42"/>
      <c r="AI47" s="43"/>
      <c r="AJ47" s="43"/>
      <c r="AK47" s="42"/>
      <c r="AL47" s="42"/>
      <c r="AM47" s="46"/>
      <c r="AN47" s="46"/>
      <c r="AO47" s="45"/>
      <c r="AP47" s="46"/>
      <c r="AQ47" s="45"/>
      <c r="AR47" s="46"/>
      <c r="AS47" s="46"/>
      <c r="AW47" s="14"/>
      <c r="AX47" s="15"/>
      <c r="AY47" s="15"/>
      <c r="AZ47" s="15"/>
      <c r="BA47" s="15"/>
      <c r="BB47" s="14"/>
      <c r="BC47" s="15"/>
      <c r="BD47" s="15"/>
      <c r="BE47" s="14"/>
      <c r="BF47" s="15"/>
      <c r="BG47" s="15"/>
      <c r="BH47" s="15"/>
      <c r="BI47" s="15"/>
      <c r="BJ47" s="15"/>
      <c r="BK47" s="14"/>
      <c r="BL47" s="15"/>
      <c r="BM47" s="15"/>
      <c r="BN47" s="15"/>
      <c r="BO47" s="14"/>
      <c r="BP47" s="15"/>
      <c r="BQ47" s="14"/>
      <c r="BR47" s="15"/>
      <c r="BS47" s="15"/>
      <c r="BT47" s="15"/>
      <c r="BU47" s="15"/>
      <c r="BV47" s="16"/>
      <c r="BW47" s="15"/>
      <c r="BX47" s="15"/>
    </row>
    <row r="48" spans="4:76" s="10" customFormat="1" ht="12.75" outlineLevel="2">
      <c r="D48" s="11"/>
      <c r="E48" s="31"/>
      <c r="G48" s="12"/>
      <c r="H48" s="12"/>
      <c r="I48" s="12"/>
      <c r="J48" s="38"/>
      <c r="K48" s="28"/>
      <c r="L48" s="13"/>
      <c r="M48" s="28"/>
      <c r="N48" s="13"/>
      <c r="O48" s="13"/>
      <c r="P48" s="43"/>
      <c r="Q48" s="44"/>
      <c r="R48" s="43"/>
      <c r="S48" s="43"/>
      <c r="T48" s="46"/>
      <c r="U48" s="43"/>
      <c r="V48" s="43"/>
      <c r="W48" s="43"/>
      <c r="X48" s="44"/>
      <c r="Y48" s="45"/>
      <c r="Z48" s="44"/>
      <c r="AA48" s="46"/>
      <c r="AB48" s="46"/>
      <c r="AC48" s="42"/>
      <c r="AD48" s="41"/>
      <c r="AE48" s="47"/>
      <c r="AF48" s="47"/>
      <c r="AG48" s="47"/>
      <c r="AH48" s="42"/>
      <c r="AI48" s="43"/>
      <c r="AJ48" s="43"/>
      <c r="AK48" s="42"/>
      <c r="AL48" s="42"/>
      <c r="AM48" s="46"/>
      <c r="AN48" s="46"/>
      <c r="AO48" s="45"/>
      <c r="AP48" s="46"/>
      <c r="AQ48" s="45"/>
      <c r="AR48" s="46"/>
      <c r="AS48" s="46"/>
      <c r="AW48" s="14"/>
      <c r="AX48" s="15"/>
      <c r="AY48" s="15"/>
      <c r="AZ48" s="15"/>
      <c r="BA48" s="15"/>
      <c r="BB48" s="14"/>
      <c r="BC48" s="15"/>
      <c r="BD48" s="15"/>
      <c r="BE48" s="13"/>
      <c r="BF48" s="15"/>
      <c r="BG48" s="15"/>
      <c r="BH48" s="15"/>
      <c r="BI48" s="15"/>
      <c r="BJ48" s="15"/>
      <c r="BK48" s="14"/>
      <c r="BL48" s="15"/>
      <c r="BM48" s="15"/>
      <c r="BN48" s="15"/>
      <c r="BO48" s="14"/>
      <c r="BP48" s="15"/>
      <c r="BQ48" s="14"/>
      <c r="BR48" s="15"/>
      <c r="BS48" s="15"/>
      <c r="BT48" s="15"/>
      <c r="BU48" s="15"/>
      <c r="BV48" s="16"/>
      <c r="BW48" s="15"/>
      <c r="BX48" s="15"/>
    </row>
    <row r="49" spans="4:76" s="20" customFormat="1" ht="12.75" outlineLevel="1">
      <c r="D49" s="62"/>
      <c r="E49" s="49"/>
      <c r="G49" s="50"/>
      <c r="H49" s="50"/>
      <c r="I49" s="50"/>
      <c r="J49" s="51"/>
      <c r="K49" s="52"/>
      <c r="L49" s="53"/>
      <c r="M49" s="52"/>
      <c r="N49" s="53"/>
      <c r="O49" s="53"/>
      <c r="P49" s="54"/>
      <c r="Q49" s="55"/>
      <c r="R49" s="54"/>
      <c r="S49" s="54"/>
      <c r="T49" s="57"/>
      <c r="U49" s="54"/>
      <c r="V49" s="54"/>
      <c r="W49" s="54"/>
      <c r="X49" s="55"/>
      <c r="Y49" s="56"/>
      <c r="Z49" s="55"/>
      <c r="AA49" s="57"/>
      <c r="AB49" s="57"/>
      <c r="AC49" s="58"/>
      <c r="AD49" s="58"/>
      <c r="AE49" s="57"/>
      <c r="AF49" s="57"/>
      <c r="AG49" s="57"/>
      <c r="AH49" s="58"/>
      <c r="AI49" s="54"/>
      <c r="AJ49" s="54"/>
      <c r="AK49" s="58"/>
      <c r="AL49" s="58"/>
      <c r="AM49" s="57"/>
      <c r="AN49" s="57"/>
      <c r="AO49" s="56"/>
      <c r="AP49" s="57"/>
      <c r="AQ49" s="56"/>
      <c r="AR49" s="57"/>
      <c r="AS49" s="57"/>
      <c r="AW49" s="59"/>
      <c r="AX49" s="60"/>
      <c r="AY49" s="60"/>
      <c r="AZ49" s="60"/>
      <c r="BA49" s="60"/>
      <c r="BB49" s="59"/>
      <c r="BC49" s="60"/>
      <c r="BD49" s="60"/>
      <c r="BE49" s="53"/>
      <c r="BF49" s="60"/>
      <c r="BG49" s="60"/>
      <c r="BH49" s="60"/>
      <c r="BI49" s="60"/>
      <c r="BJ49" s="60"/>
      <c r="BK49" s="59"/>
      <c r="BL49" s="60"/>
      <c r="BM49" s="60"/>
      <c r="BN49" s="60"/>
      <c r="BO49" s="59"/>
      <c r="BP49" s="60"/>
      <c r="BQ49" s="59"/>
      <c r="BR49" s="60"/>
      <c r="BS49" s="60"/>
      <c r="BT49" s="60"/>
      <c r="BU49" s="60"/>
      <c r="BV49" s="61"/>
      <c r="BW49" s="60"/>
      <c r="BX49" s="60"/>
    </row>
    <row r="50" spans="4:76" s="10" customFormat="1" ht="12.75" outlineLevel="2">
      <c r="D50" s="11"/>
      <c r="E50" s="31"/>
      <c r="G50" s="12"/>
      <c r="H50" s="12"/>
      <c r="I50" s="12"/>
      <c r="J50" s="38"/>
      <c r="K50" s="28"/>
      <c r="L50" s="13"/>
      <c r="M50" s="13"/>
      <c r="N50" s="13"/>
      <c r="O50" s="13"/>
      <c r="P50" s="43"/>
      <c r="Q50" s="44"/>
      <c r="R50" s="43"/>
      <c r="S50" s="44"/>
      <c r="T50" s="45"/>
      <c r="U50" s="44"/>
      <c r="V50" s="43"/>
      <c r="W50" s="44"/>
      <c r="X50" s="44"/>
      <c r="Y50" s="45"/>
      <c r="Z50" s="44"/>
      <c r="AA50" s="46"/>
      <c r="AB50" s="45"/>
      <c r="AC50" s="42"/>
      <c r="AD50" s="42"/>
      <c r="AE50" s="47"/>
      <c r="AF50" s="46"/>
      <c r="AG50" s="46"/>
      <c r="AH50" s="48"/>
      <c r="AI50" s="44"/>
      <c r="AJ50" s="44"/>
      <c r="AK50" s="48"/>
      <c r="AL50" s="48"/>
      <c r="AM50" s="46"/>
      <c r="AN50" s="46"/>
      <c r="AO50" s="45"/>
      <c r="AP50" s="46"/>
      <c r="AQ50" s="45"/>
      <c r="AR50" s="46"/>
      <c r="AS50" s="46"/>
      <c r="AW50" s="14"/>
      <c r="AX50" s="15"/>
      <c r="AY50" s="15"/>
      <c r="AZ50" s="15"/>
      <c r="BA50" s="15"/>
      <c r="BB50" s="14"/>
      <c r="BC50" s="15"/>
      <c r="BD50" s="15"/>
      <c r="BE50" s="13"/>
      <c r="BF50" s="15"/>
      <c r="BG50" s="15"/>
      <c r="BH50" s="15"/>
      <c r="BI50" s="15"/>
      <c r="BJ50" s="15"/>
      <c r="BK50" s="14"/>
      <c r="BL50" s="15"/>
      <c r="BM50" s="15"/>
      <c r="BN50" s="15"/>
      <c r="BO50" s="14"/>
      <c r="BP50" s="15"/>
      <c r="BQ50" s="14"/>
      <c r="BR50" s="15"/>
      <c r="BS50" s="15"/>
      <c r="BT50" s="15"/>
      <c r="BU50" s="15"/>
      <c r="BV50" s="16"/>
      <c r="BW50" s="15"/>
      <c r="BX50" s="15"/>
    </row>
    <row r="51" spans="4:76" s="10" customFormat="1" ht="12.75" outlineLevel="2">
      <c r="D51" s="11"/>
      <c r="E51" s="32"/>
      <c r="G51" s="17"/>
      <c r="H51" s="12"/>
      <c r="I51" s="12"/>
      <c r="J51" s="38"/>
      <c r="K51" s="28"/>
      <c r="L51" s="13"/>
      <c r="M51" s="13"/>
      <c r="N51" s="13"/>
      <c r="O51" s="13"/>
      <c r="P51" s="43"/>
      <c r="Q51" s="44"/>
      <c r="R51" s="43"/>
      <c r="S51" s="44"/>
      <c r="T51" s="45"/>
      <c r="U51" s="44"/>
      <c r="V51" s="43"/>
      <c r="W51" s="43"/>
      <c r="X51" s="44"/>
      <c r="Y51" s="45"/>
      <c r="Z51" s="44"/>
      <c r="AA51" s="46"/>
      <c r="AB51" s="46"/>
      <c r="AC51" s="42"/>
      <c r="AD51" s="41"/>
      <c r="AE51" s="47"/>
      <c r="AF51" s="47"/>
      <c r="AG51" s="47"/>
      <c r="AH51" s="42"/>
      <c r="AI51" s="44"/>
      <c r="AJ51" s="44"/>
      <c r="AK51" s="42"/>
      <c r="AL51" s="42"/>
      <c r="AM51" s="46"/>
      <c r="AN51" s="46"/>
      <c r="AO51" s="45"/>
      <c r="AP51" s="46"/>
      <c r="AQ51" s="45"/>
      <c r="AR51" s="46"/>
      <c r="AS51" s="46"/>
      <c r="AW51" s="14"/>
      <c r="AX51" s="15"/>
      <c r="AY51" s="15"/>
      <c r="AZ51" s="15"/>
      <c r="BA51" s="15"/>
      <c r="BB51" s="14"/>
      <c r="BC51" s="15"/>
      <c r="BD51" s="15"/>
      <c r="BE51" s="13"/>
      <c r="BF51" s="15"/>
      <c r="BG51" s="15"/>
      <c r="BH51" s="15"/>
      <c r="BI51" s="15"/>
      <c r="BJ51" s="15"/>
      <c r="BK51" s="14"/>
      <c r="BL51" s="15"/>
      <c r="BM51" s="15"/>
      <c r="BN51" s="15"/>
      <c r="BO51" s="14"/>
      <c r="BP51" s="15"/>
      <c r="BQ51" s="14"/>
      <c r="BR51" s="15"/>
      <c r="BS51" s="15"/>
      <c r="BT51" s="15"/>
      <c r="BU51" s="15"/>
      <c r="BV51" s="16"/>
      <c r="BW51" s="15"/>
      <c r="BX51" s="15"/>
    </row>
    <row r="52" spans="4:76" s="20" customFormat="1" ht="12.75" outlineLevel="1">
      <c r="D52" s="62"/>
      <c r="E52" s="29"/>
      <c r="G52" s="71"/>
      <c r="H52" s="50"/>
      <c r="I52" s="50"/>
      <c r="J52" s="51"/>
      <c r="K52" s="52"/>
      <c r="L52" s="53"/>
      <c r="M52" s="53"/>
      <c r="N52" s="53"/>
      <c r="O52" s="53"/>
      <c r="P52" s="54"/>
      <c r="Q52" s="55"/>
      <c r="R52" s="54"/>
      <c r="S52" s="55"/>
      <c r="T52" s="56"/>
      <c r="U52" s="55"/>
      <c r="V52" s="54"/>
      <c r="W52" s="54"/>
      <c r="X52" s="55"/>
      <c r="Y52" s="56"/>
      <c r="Z52" s="55"/>
      <c r="AA52" s="57"/>
      <c r="AB52" s="57"/>
      <c r="AC52" s="58"/>
      <c r="AD52" s="58"/>
      <c r="AE52" s="57"/>
      <c r="AF52" s="57"/>
      <c r="AG52" s="57"/>
      <c r="AH52" s="58"/>
      <c r="AI52" s="55"/>
      <c r="AJ52" s="55"/>
      <c r="AK52" s="58"/>
      <c r="AL52" s="58"/>
      <c r="AM52" s="57"/>
      <c r="AN52" s="57"/>
      <c r="AO52" s="56"/>
      <c r="AP52" s="57"/>
      <c r="AQ52" s="56"/>
      <c r="AR52" s="57"/>
      <c r="AS52" s="57"/>
      <c r="AW52" s="59"/>
      <c r="AX52" s="60"/>
      <c r="AY52" s="60"/>
      <c r="AZ52" s="60"/>
      <c r="BA52" s="60"/>
      <c r="BB52" s="59"/>
      <c r="BC52" s="60"/>
      <c r="BD52" s="60"/>
      <c r="BE52" s="53"/>
      <c r="BF52" s="60"/>
      <c r="BG52" s="60"/>
      <c r="BH52" s="60"/>
      <c r="BI52" s="60"/>
      <c r="BJ52" s="60"/>
      <c r="BK52" s="59"/>
      <c r="BL52" s="60"/>
      <c r="BM52" s="60"/>
      <c r="BN52" s="60"/>
      <c r="BO52" s="59"/>
      <c r="BP52" s="60"/>
      <c r="BQ52" s="59"/>
      <c r="BR52" s="60"/>
      <c r="BS52" s="60"/>
      <c r="BT52" s="60"/>
      <c r="BU52" s="60"/>
      <c r="BV52" s="61"/>
      <c r="BW52" s="60"/>
      <c r="BX52" s="60"/>
    </row>
    <row r="53" spans="4:76" s="10" customFormat="1" ht="12.75" outlineLevel="2">
      <c r="D53" s="11"/>
      <c r="E53" s="31"/>
      <c r="G53" s="12"/>
      <c r="H53" s="12"/>
      <c r="I53" s="12"/>
      <c r="J53" s="38"/>
      <c r="K53" s="28"/>
      <c r="L53" s="13"/>
      <c r="M53" s="13"/>
      <c r="N53" s="13"/>
      <c r="O53" s="13"/>
      <c r="P53" s="43"/>
      <c r="Q53" s="44"/>
      <c r="R53" s="43"/>
      <c r="S53" s="44"/>
      <c r="T53" s="45"/>
      <c r="U53" s="44"/>
      <c r="V53" s="43"/>
      <c r="W53" s="43"/>
      <c r="X53" s="44"/>
      <c r="Y53" s="45"/>
      <c r="Z53" s="44"/>
      <c r="AA53" s="46"/>
      <c r="AB53" s="46"/>
      <c r="AC53" s="42"/>
      <c r="AD53" s="41"/>
      <c r="AE53" s="47"/>
      <c r="AF53" s="47"/>
      <c r="AG53" s="47"/>
      <c r="AH53" s="42"/>
      <c r="AI53" s="44"/>
      <c r="AJ53" s="44"/>
      <c r="AK53" s="42"/>
      <c r="AL53" s="42"/>
      <c r="AM53" s="46"/>
      <c r="AN53" s="46"/>
      <c r="AO53" s="45"/>
      <c r="AP53" s="46"/>
      <c r="AQ53" s="45"/>
      <c r="AR53" s="46"/>
      <c r="AS53" s="46"/>
      <c r="AW53" s="14"/>
      <c r="AX53" s="15"/>
      <c r="AY53" s="15"/>
      <c r="AZ53" s="15"/>
      <c r="BA53" s="15"/>
      <c r="BB53" s="14"/>
      <c r="BC53" s="15"/>
      <c r="BD53" s="15"/>
      <c r="BE53" s="14"/>
      <c r="BF53" s="15"/>
      <c r="BG53" s="15"/>
      <c r="BH53" s="15"/>
      <c r="BI53" s="15"/>
      <c r="BJ53" s="15"/>
      <c r="BK53" s="14"/>
      <c r="BL53" s="15"/>
      <c r="BM53" s="15"/>
      <c r="BN53" s="15"/>
      <c r="BO53" s="14"/>
      <c r="BP53" s="15"/>
      <c r="BQ53" s="14"/>
      <c r="BR53" s="15"/>
      <c r="BS53" s="15"/>
      <c r="BT53" s="15"/>
      <c r="BU53" s="15"/>
      <c r="BV53" s="16"/>
      <c r="BW53" s="15"/>
      <c r="BX53" s="15"/>
    </row>
    <row r="54" spans="4:76" s="10" customFormat="1" ht="12.75" outlineLevel="2">
      <c r="D54" s="11"/>
      <c r="E54" s="31"/>
      <c r="G54" s="12"/>
      <c r="H54" s="12"/>
      <c r="I54" s="12"/>
      <c r="J54" s="38"/>
      <c r="K54" s="28"/>
      <c r="L54" s="13"/>
      <c r="M54" s="13"/>
      <c r="N54" s="13"/>
      <c r="O54" s="13"/>
      <c r="P54" s="43"/>
      <c r="Q54" s="44"/>
      <c r="R54" s="43"/>
      <c r="S54" s="44"/>
      <c r="T54" s="45"/>
      <c r="U54" s="44"/>
      <c r="V54" s="43"/>
      <c r="W54" s="44"/>
      <c r="X54" s="44"/>
      <c r="Y54" s="45"/>
      <c r="Z54" s="44"/>
      <c r="AA54" s="46"/>
      <c r="AB54" s="45"/>
      <c r="AC54" s="42"/>
      <c r="AD54" s="41"/>
      <c r="AE54" s="47"/>
      <c r="AF54" s="47"/>
      <c r="AG54" s="47"/>
      <c r="AH54" s="48"/>
      <c r="AI54" s="44"/>
      <c r="AJ54" s="44"/>
      <c r="AK54" s="42"/>
      <c r="AL54" s="48"/>
      <c r="AM54" s="46"/>
      <c r="AN54" s="46"/>
      <c r="AO54" s="45"/>
      <c r="AP54" s="46"/>
      <c r="AQ54" s="45"/>
      <c r="AR54" s="46"/>
      <c r="AS54" s="46"/>
      <c r="AW54" s="13"/>
      <c r="BA54" s="40"/>
      <c r="BB54" s="13"/>
      <c r="BC54" s="40"/>
      <c r="BD54" s="40"/>
      <c r="BE54" s="13"/>
      <c r="BF54" s="13"/>
      <c r="BJ54" s="40"/>
      <c r="BK54" s="13"/>
      <c r="BL54" s="40"/>
      <c r="BM54" s="40"/>
      <c r="BR54" s="40"/>
      <c r="BV54" s="36"/>
      <c r="BW54" s="40"/>
      <c r="BX54" s="40"/>
    </row>
    <row r="55" spans="4:76" s="10" customFormat="1" ht="12.75" outlineLevel="2">
      <c r="D55" s="11"/>
      <c r="E55" s="31"/>
      <c r="G55" s="17"/>
      <c r="H55" s="12"/>
      <c r="I55" s="12"/>
      <c r="J55" s="38"/>
      <c r="K55" s="28"/>
      <c r="L55" s="13"/>
      <c r="M55" s="13"/>
      <c r="N55" s="13"/>
      <c r="O55" s="13"/>
      <c r="P55" s="43"/>
      <c r="Q55" s="44"/>
      <c r="R55" s="43"/>
      <c r="S55" s="44"/>
      <c r="T55" s="45"/>
      <c r="U55" s="44"/>
      <c r="V55" s="43"/>
      <c r="W55" s="44"/>
      <c r="X55" s="44"/>
      <c r="Y55" s="45"/>
      <c r="Z55" s="44"/>
      <c r="AA55" s="46"/>
      <c r="AB55" s="45"/>
      <c r="AC55" s="42"/>
      <c r="AD55" s="41"/>
      <c r="AE55" s="47"/>
      <c r="AF55" s="47"/>
      <c r="AG55" s="47"/>
      <c r="AH55" s="48"/>
      <c r="AI55" s="44"/>
      <c r="AJ55" s="44"/>
      <c r="AK55" s="48"/>
      <c r="AL55" s="48"/>
      <c r="AM55" s="46"/>
      <c r="AN55" s="46"/>
      <c r="AO55" s="45"/>
      <c r="AP55" s="46"/>
      <c r="AQ55" s="45"/>
      <c r="AR55" s="46"/>
      <c r="AS55" s="46"/>
      <c r="AW55" s="13"/>
      <c r="BA55" s="40"/>
      <c r="BB55" s="13"/>
      <c r="BC55" s="40"/>
      <c r="BD55" s="40"/>
      <c r="BE55" s="13"/>
      <c r="BF55" s="13"/>
      <c r="BJ55" s="40"/>
      <c r="BK55" s="13"/>
      <c r="BL55" s="40"/>
      <c r="BM55" s="40"/>
      <c r="BR55" s="40"/>
      <c r="BV55" s="36"/>
      <c r="BW55" s="40"/>
      <c r="BX55" s="40"/>
    </row>
    <row r="56" spans="4:76" s="10" customFormat="1" ht="12.75" outlineLevel="2">
      <c r="D56" s="11"/>
      <c r="E56" s="31"/>
      <c r="G56" s="12"/>
      <c r="H56" s="12"/>
      <c r="I56" s="12"/>
      <c r="J56" s="38"/>
      <c r="K56" s="28"/>
      <c r="L56" s="13"/>
      <c r="M56" s="13"/>
      <c r="N56" s="13"/>
      <c r="O56" s="13"/>
      <c r="P56" s="43"/>
      <c r="Q56" s="44"/>
      <c r="R56" s="43"/>
      <c r="S56" s="44"/>
      <c r="T56" s="45"/>
      <c r="U56" s="44"/>
      <c r="V56" s="44"/>
      <c r="W56" s="43"/>
      <c r="X56" s="44"/>
      <c r="Y56" s="45"/>
      <c r="Z56" s="44"/>
      <c r="AA56" s="46"/>
      <c r="AB56" s="46"/>
      <c r="AC56" s="42"/>
      <c r="AD56" s="41"/>
      <c r="AE56" s="47"/>
      <c r="AF56" s="47"/>
      <c r="AG56" s="47"/>
      <c r="AH56" s="42"/>
      <c r="AI56" s="44"/>
      <c r="AJ56" s="44"/>
      <c r="AK56" s="42"/>
      <c r="AL56" s="42"/>
      <c r="AM56" s="46"/>
      <c r="AN56" s="46"/>
      <c r="AO56" s="45"/>
      <c r="AP56" s="46"/>
      <c r="AQ56" s="45"/>
      <c r="AR56" s="46"/>
      <c r="AS56" s="46"/>
      <c r="AW56" s="13"/>
      <c r="BA56" s="40"/>
      <c r="BB56" s="13"/>
      <c r="BC56" s="40"/>
      <c r="BD56" s="40"/>
      <c r="BE56" s="13"/>
      <c r="BF56" s="13"/>
      <c r="BJ56" s="40"/>
      <c r="BK56" s="13"/>
      <c r="BL56" s="40"/>
      <c r="BM56" s="40"/>
      <c r="BR56" s="40"/>
      <c r="BV56" s="36"/>
      <c r="BW56" s="40"/>
      <c r="BX56" s="40"/>
    </row>
    <row r="57" spans="4:76" s="20" customFormat="1" ht="12.75" outlineLevel="1">
      <c r="D57" s="62"/>
      <c r="E57" s="49"/>
      <c r="G57" s="50"/>
      <c r="H57" s="50"/>
      <c r="I57" s="50"/>
      <c r="J57" s="51"/>
      <c r="K57" s="52"/>
      <c r="L57" s="53"/>
      <c r="M57" s="53"/>
      <c r="N57" s="53"/>
      <c r="O57" s="53"/>
      <c r="P57" s="54"/>
      <c r="Q57" s="55"/>
      <c r="R57" s="54"/>
      <c r="S57" s="55"/>
      <c r="T57" s="56"/>
      <c r="U57" s="55"/>
      <c r="V57" s="55"/>
      <c r="W57" s="54"/>
      <c r="X57" s="55"/>
      <c r="Y57" s="56"/>
      <c r="Z57" s="55"/>
      <c r="AA57" s="57"/>
      <c r="AB57" s="57"/>
      <c r="AC57" s="58"/>
      <c r="AD57" s="58"/>
      <c r="AE57" s="57"/>
      <c r="AF57" s="57"/>
      <c r="AG57" s="57"/>
      <c r="AH57" s="58"/>
      <c r="AI57" s="55"/>
      <c r="AJ57" s="55"/>
      <c r="AK57" s="58"/>
      <c r="AL57" s="58"/>
      <c r="AM57" s="57"/>
      <c r="AN57" s="57"/>
      <c r="AO57" s="56"/>
      <c r="AP57" s="57"/>
      <c r="AQ57" s="56"/>
      <c r="AR57" s="57"/>
      <c r="AS57" s="57"/>
      <c r="AW57" s="53"/>
      <c r="BA57" s="73"/>
      <c r="BB57" s="53"/>
      <c r="BC57" s="73"/>
      <c r="BD57" s="73"/>
      <c r="BE57" s="53"/>
      <c r="BF57" s="53"/>
      <c r="BJ57" s="73"/>
      <c r="BK57" s="53"/>
      <c r="BL57" s="73"/>
      <c r="BM57" s="73"/>
      <c r="BR57" s="73"/>
      <c r="BV57" s="69"/>
      <c r="BW57" s="73"/>
      <c r="BX57" s="73"/>
    </row>
    <row r="58" spans="4:76" s="10" customFormat="1" ht="12.75" outlineLevel="2">
      <c r="D58" s="11"/>
      <c r="E58" s="31"/>
      <c r="G58" s="12"/>
      <c r="H58" s="12"/>
      <c r="I58" s="12"/>
      <c r="J58" s="38"/>
      <c r="K58" s="28"/>
      <c r="L58" s="13"/>
      <c r="M58" s="28"/>
      <c r="N58" s="13"/>
      <c r="O58" s="13"/>
      <c r="P58" s="43"/>
      <c r="Q58" s="44"/>
      <c r="R58" s="43"/>
      <c r="S58" s="43"/>
      <c r="T58" s="46"/>
      <c r="U58" s="43"/>
      <c r="V58" s="43"/>
      <c r="W58" s="43"/>
      <c r="X58" s="44"/>
      <c r="Y58" s="45"/>
      <c r="Z58" s="44"/>
      <c r="AA58" s="46"/>
      <c r="AB58" s="46"/>
      <c r="AC58" s="42"/>
      <c r="AD58" s="41"/>
      <c r="AE58" s="47"/>
      <c r="AF58" s="47"/>
      <c r="AG58" s="47"/>
      <c r="AH58" s="42"/>
      <c r="AI58" s="43"/>
      <c r="AJ58" s="43"/>
      <c r="AK58" s="42"/>
      <c r="AL58" s="42"/>
      <c r="AM58" s="46"/>
      <c r="AN58" s="46"/>
      <c r="AO58" s="45"/>
      <c r="AP58" s="46"/>
      <c r="AQ58" s="45"/>
      <c r="AR58" s="46"/>
      <c r="AS58" s="46"/>
      <c r="AW58" s="14"/>
      <c r="AX58" s="15"/>
      <c r="AY58" s="15"/>
      <c r="AZ58" s="15"/>
      <c r="BA58" s="15"/>
      <c r="BB58" s="14"/>
      <c r="BC58" s="15"/>
      <c r="BD58" s="15"/>
      <c r="BE58" s="13"/>
      <c r="BF58" s="15"/>
      <c r="BG58" s="15"/>
      <c r="BH58" s="15"/>
      <c r="BI58" s="15"/>
      <c r="BJ58" s="15"/>
      <c r="BK58" s="14"/>
      <c r="BL58" s="15"/>
      <c r="BM58" s="15"/>
      <c r="BN58" s="15"/>
      <c r="BO58" s="14"/>
      <c r="BP58" s="15"/>
      <c r="BQ58" s="14"/>
      <c r="BR58" s="15"/>
      <c r="BS58" s="15"/>
      <c r="BT58" s="15"/>
      <c r="BU58" s="15"/>
      <c r="BV58" s="16"/>
      <c r="BW58" s="15"/>
      <c r="BX58" s="15"/>
    </row>
    <row r="59" spans="5:76" s="10" customFormat="1" ht="12.75" outlineLevel="2">
      <c r="E59" s="31"/>
      <c r="G59" s="12"/>
      <c r="H59" s="12"/>
      <c r="I59" s="12"/>
      <c r="J59" s="38"/>
      <c r="K59" s="28"/>
      <c r="L59" s="13"/>
      <c r="M59" s="28"/>
      <c r="N59" s="13"/>
      <c r="O59" s="13"/>
      <c r="P59" s="43"/>
      <c r="Q59" s="44"/>
      <c r="R59" s="44"/>
      <c r="S59" s="43"/>
      <c r="T59" s="46"/>
      <c r="U59" s="43"/>
      <c r="V59" s="43"/>
      <c r="W59" s="43"/>
      <c r="X59" s="44"/>
      <c r="Y59" s="45"/>
      <c r="Z59" s="44"/>
      <c r="AA59" s="46"/>
      <c r="AB59" s="46"/>
      <c r="AC59" s="42"/>
      <c r="AD59" s="41"/>
      <c r="AE59" s="47"/>
      <c r="AF59" s="47"/>
      <c r="AG59" s="47"/>
      <c r="AH59" s="42"/>
      <c r="AI59" s="43"/>
      <c r="AJ59" s="43"/>
      <c r="AK59" s="42"/>
      <c r="AL59" s="42"/>
      <c r="AM59" s="46"/>
      <c r="AN59" s="46"/>
      <c r="AO59" s="45"/>
      <c r="AP59" s="46"/>
      <c r="AQ59" s="45"/>
      <c r="AR59" s="46"/>
      <c r="AS59" s="46"/>
      <c r="AW59" s="14"/>
      <c r="AX59" s="15"/>
      <c r="AY59" s="15"/>
      <c r="AZ59" s="15"/>
      <c r="BA59" s="15"/>
      <c r="BB59" s="14"/>
      <c r="BC59" s="15"/>
      <c r="BD59" s="15"/>
      <c r="BE59" s="14"/>
      <c r="BF59" s="15"/>
      <c r="BG59" s="15"/>
      <c r="BH59" s="15"/>
      <c r="BI59" s="15"/>
      <c r="BJ59" s="15"/>
      <c r="BK59" s="14"/>
      <c r="BL59" s="15"/>
      <c r="BM59" s="15"/>
      <c r="BN59" s="15"/>
      <c r="BO59" s="14"/>
      <c r="BP59" s="15"/>
      <c r="BQ59" s="14"/>
      <c r="BR59" s="15"/>
      <c r="BS59" s="15"/>
      <c r="BT59" s="15"/>
      <c r="BU59" s="15"/>
      <c r="BV59" s="16"/>
      <c r="BW59" s="15"/>
      <c r="BX59" s="15"/>
    </row>
    <row r="60" spans="5:76" s="20" customFormat="1" ht="12.75" outlineLevel="1">
      <c r="E60" s="49"/>
      <c r="G60" s="50"/>
      <c r="H60" s="50"/>
      <c r="I60" s="50"/>
      <c r="J60" s="51"/>
      <c r="K60" s="52"/>
      <c r="L60" s="53"/>
      <c r="M60" s="52"/>
      <c r="N60" s="53"/>
      <c r="O60" s="53"/>
      <c r="P60" s="54"/>
      <c r="Q60" s="55"/>
      <c r="R60" s="55"/>
      <c r="S60" s="54"/>
      <c r="T60" s="57"/>
      <c r="U60" s="54"/>
      <c r="V60" s="54"/>
      <c r="W60" s="54"/>
      <c r="X60" s="55"/>
      <c r="Y60" s="56"/>
      <c r="Z60" s="55"/>
      <c r="AA60" s="57"/>
      <c r="AB60" s="57"/>
      <c r="AC60" s="58"/>
      <c r="AD60" s="58"/>
      <c r="AE60" s="57"/>
      <c r="AF60" s="57"/>
      <c r="AG60" s="57"/>
      <c r="AH60" s="58"/>
      <c r="AI60" s="54"/>
      <c r="AJ60" s="54"/>
      <c r="AK60" s="58"/>
      <c r="AL60" s="58"/>
      <c r="AM60" s="57"/>
      <c r="AN60" s="57"/>
      <c r="AO60" s="56"/>
      <c r="AP60" s="57"/>
      <c r="AQ60" s="56"/>
      <c r="AR60" s="57"/>
      <c r="AS60" s="57"/>
      <c r="AW60" s="59"/>
      <c r="AX60" s="60"/>
      <c r="AY60" s="60"/>
      <c r="AZ60" s="60"/>
      <c r="BA60" s="60"/>
      <c r="BB60" s="59"/>
      <c r="BC60" s="60"/>
      <c r="BD60" s="60"/>
      <c r="BE60" s="59"/>
      <c r="BF60" s="60"/>
      <c r="BG60" s="60"/>
      <c r="BH60" s="60"/>
      <c r="BI60" s="60"/>
      <c r="BJ60" s="60"/>
      <c r="BK60" s="59"/>
      <c r="BL60" s="60"/>
      <c r="BM60" s="60"/>
      <c r="BN60" s="60"/>
      <c r="BO60" s="59"/>
      <c r="BP60" s="60"/>
      <c r="BQ60" s="59"/>
      <c r="BR60" s="60"/>
      <c r="BS60" s="60"/>
      <c r="BT60" s="60"/>
      <c r="BU60" s="60"/>
      <c r="BV60" s="61"/>
      <c r="BW60" s="60"/>
      <c r="BX60" s="60"/>
    </row>
    <row r="61" spans="4:76" s="10" customFormat="1" ht="12.75" outlineLevel="2">
      <c r="D61" s="11"/>
      <c r="E61" s="31"/>
      <c r="G61" s="12"/>
      <c r="H61" s="12"/>
      <c r="I61" s="12"/>
      <c r="J61" s="38"/>
      <c r="K61" s="28"/>
      <c r="L61" s="13"/>
      <c r="M61" s="13"/>
      <c r="N61" s="13"/>
      <c r="O61" s="13"/>
      <c r="P61" s="43"/>
      <c r="Q61" s="44"/>
      <c r="R61" s="43"/>
      <c r="S61" s="44"/>
      <c r="T61" s="45"/>
      <c r="U61" s="44"/>
      <c r="V61" s="43"/>
      <c r="W61" s="43"/>
      <c r="X61" s="44"/>
      <c r="Y61" s="45"/>
      <c r="Z61" s="44"/>
      <c r="AA61" s="46"/>
      <c r="AB61" s="46"/>
      <c r="AC61" s="42"/>
      <c r="AD61" s="41"/>
      <c r="AE61" s="47"/>
      <c r="AF61" s="47"/>
      <c r="AG61" s="47"/>
      <c r="AH61" s="42"/>
      <c r="AI61" s="44"/>
      <c r="AJ61" s="44"/>
      <c r="AK61" s="42"/>
      <c r="AL61" s="42"/>
      <c r="AM61" s="46"/>
      <c r="AN61" s="46"/>
      <c r="AO61" s="45"/>
      <c r="AP61" s="46"/>
      <c r="AQ61" s="45"/>
      <c r="AR61" s="46"/>
      <c r="AS61" s="46"/>
      <c r="AW61" s="14"/>
      <c r="AX61" s="15"/>
      <c r="AY61" s="15"/>
      <c r="AZ61" s="15"/>
      <c r="BA61" s="15"/>
      <c r="BB61" s="14"/>
      <c r="BC61" s="15"/>
      <c r="BD61" s="15"/>
      <c r="BE61" s="13"/>
      <c r="BF61" s="15"/>
      <c r="BG61" s="15"/>
      <c r="BH61" s="15"/>
      <c r="BI61" s="15"/>
      <c r="BJ61" s="15"/>
      <c r="BK61" s="14"/>
      <c r="BL61" s="15"/>
      <c r="BM61" s="15"/>
      <c r="BN61" s="15"/>
      <c r="BO61" s="14"/>
      <c r="BP61" s="15"/>
      <c r="BQ61" s="14"/>
      <c r="BR61" s="15"/>
      <c r="BS61" s="15"/>
      <c r="BT61" s="15"/>
      <c r="BU61" s="15"/>
      <c r="BV61" s="16"/>
      <c r="BW61" s="15"/>
      <c r="BX61" s="15"/>
    </row>
    <row r="62" spans="4:76" s="10" customFormat="1" ht="12.75" outlineLevel="2">
      <c r="D62" s="11"/>
      <c r="E62" s="31"/>
      <c r="G62" s="12"/>
      <c r="H62" s="12"/>
      <c r="I62" s="12"/>
      <c r="J62" s="38"/>
      <c r="K62" s="28"/>
      <c r="L62" s="13"/>
      <c r="M62" s="13"/>
      <c r="N62" s="13"/>
      <c r="O62" s="13"/>
      <c r="P62" s="43"/>
      <c r="Q62" s="44"/>
      <c r="R62" s="43"/>
      <c r="S62" s="44"/>
      <c r="T62" s="45"/>
      <c r="U62" s="44"/>
      <c r="V62" s="43"/>
      <c r="W62" s="43"/>
      <c r="X62" s="44"/>
      <c r="Y62" s="45"/>
      <c r="Z62" s="44"/>
      <c r="AA62" s="46"/>
      <c r="AB62" s="46"/>
      <c r="AC62" s="42"/>
      <c r="AD62" s="41"/>
      <c r="AE62" s="47"/>
      <c r="AF62" s="47"/>
      <c r="AG62" s="47"/>
      <c r="AH62" s="42"/>
      <c r="AI62" s="44"/>
      <c r="AJ62" s="44"/>
      <c r="AK62" s="42"/>
      <c r="AL62" s="42"/>
      <c r="AM62" s="46"/>
      <c r="AN62" s="46"/>
      <c r="AO62" s="45"/>
      <c r="AP62" s="46"/>
      <c r="AQ62" s="45"/>
      <c r="AR62" s="46"/>
      <c r="AS62" s="46"/>
      <c r="AW62" s="14"/>
      <c r="AX62" s="15"/>
      <c r="AY62" s="15"/>
      <c r="AZ62" s="15"/>
      <c r="BA62" s="15"/>
      <c r="BB62" s="14"/>
      <c r="BC62" s="15"/>
      <c r="BD62" s="15"/>
      <c r="BE62" s="14"/>
      <c r="BF62" s="15"/>
      <c r="BG62" s="15"/>
      <c r="BH62" s="15"/>
      <c r="BI62" s="15"/>
      <c r="BJ62" s="15"/>
      <c r="BK62" s="14"/>
      <c r="BL62" s="15"/>
      <c r="BM62" s="15"/>
      <c r="BN62" s="15"/>
      <c r="BO62" s="14"/>
      <c r="BP62" s="15"/>
      <c r="BQ62" s="14"/>
      <c r="BR62" s="15"/>
      <c r="BS62" s="15"/>
      <c r="BT62" s="15"/>
      <c r="BU62" s="15"/>
      <c r="BV62" s="16"/>
      <c r="BW62" s="15"/>
      <c r="BX62" s="15"/>
    </row>
    <row r="63" spans="1:76" s="11" customFormat="1" ht="12.75" outlineLevel="2">
      <c r="A63" s="10"/>
      <c r="B63" s="10"/>
      <c r="C63" s="10"/>
      <c r="E63" s="31"/>
      <c r="F63" s="10"/>
      <c r="G63" s="12"/>
      <c r="H63" s="12"/>
      <c r="I63" s="12"/>
      <c r="J63" s="38"/>
      <c r="K63" s="28"/>
      <c r="L63" s="13"/>
      <c r="M63" s="13"/>
      <c r="N63" s="13"/>
      <c r="O63" s="13"/>
      <c r="P63" s="43"/>
      <c r="Q63" s="44"/>
      <c r="R63" s="43"/>
      <c r="S63" s="44"/>
      <c r="T63" s="45"/>
      <c r="U63" s="44"/>
      <c r="V63" s="44"/>
      <c r="W63" s="43"/>
      <c r="X63" s="44"/>
      <c r="Y63" s="45"/>
      <c r="Z63" s="44"/>
      <c r="AA63" s="46"/>
      <c r="AB63" s="46"/>
      <c r="AC63" s="42"/>
      <c r="AD63" s="41"/>
      <c r="AE63" s="47"/>
      <c r="AF63" s="47"/>
      <c r="AG63" s="47"/>
      <c r="AH63" s="42"/>
      <c r="AI63" s="44"/>
      <c r="AJ63" s="44"/>
      <c r="AK63" s="42"/>
      <c r="AL63" s="42"/>
      <c r="AM63" s="46"/>
      <c r="AN63" s="46"/>
      <c r="AO63" s="45"/>
      <c r="AP63" s="46"/>
      <c r="AQ63" s="45"/>
      <c r="AR63" s="46"/>
      <c r="AS63" s="46"/>
      <c r="AT63" s="10"/>
      <c r="AU63" s="10"/>
      <c r="AV63" s="10"/>
      <c r="AW63" s="14"/>
      <c r="AX63" s="15"/>
      <c r="AY63" s="15"/>
      <c r="AZ63" s="15"/>
      <c r="BA63" s="15"/>
      <c r="BB63" s="14"/>
      <c r="BC63" s="15"/>
      <c r="BD63" s="15"/>
      <c r="BE63" s="13"/>
      <c r="BF63" s="15"/>
      <c r="BG63" s="15"/>
      <c r="BH63" s="15"/>
      <c r="BI63" s="15"/>
      <c r="BJ63" s="15"/>
      <c r="BK63" s="14"/>
      <c r="BL63" s="15"/>
      <c r="BM63" s="15"/>
      <c r="BN63" s="15"/>
      <c r="BO63" s="14"/>
      <c r="BP63" s="15"/>
      <c r="BQ63" s="14"/>
      <c r="BR63" s="15"/>
      <c r="BS63" s="15"/>
      <c r="BT63" s="15"/>
      <c r="BU63" s="15"/>
      <c r="BV63" s="16"/>
      <c r="BW63" s="15"/>
      <c r="BX63" s="15"/>
    </row>
    <row r="64" spans="4:76" s="10" customFormat="1" ht="12.75" outlineLevel="2">
      <c r="D64" s="11"/>
      <c r="E64" s="31"/>
      <c r="G64" s="12"/>
      <c r="H64" s="12"/>
      <c r="I64" s="12"/>
      <c r="J64" s="38"/>
      <c r="K64" s="28"/>
      <c r="L64" s="13"/>
      <c r="M64" s="13"/>
      <c r="N64" s="13"/>
      <c r="O64" s="13"/>
      <c r="P64" s="43"/>
      <c r="Q64" s="44"/>
      <c r="R64" s="43"/>
      <c r="S64" s="44"/>
      <c r="T64" s="45"/>
      <c r="U64" s="44"/>
      <c r="V64" s="44"/>
      <c r="W64" s="43"/>
      <c r="X64" s="44"/>
      <c r="Y64" s="45"/>
      <c r="Z64" s="44"/>
      <c r="AA64" s="46"/>
      <c r="AB64" s="46"/>
      <c r="AC64" s="42"/>
      <c r="AD64" s="41"/>
      <c r="AE64" s="47"/>
      <c r="AF64" s="47"/>
      <c r="AG64" s="47"/>
      <c r="AH64" s="42"/>
      <c r="AI64" s="44"/>
      <c r="AJ64" s="44"/>
      <c r="AK64" s="42"/>
      <c r="AL64" s="42"/>
      <c r="AM64" s="46"/>
      <c r="AN64" s="46"/>
      <c r="AO64" s="45"/>
      <c r="AP64" s="46"/>
      <c r="AQ64" s="45"/>
      <c r="AR64" s="46"/>
      <c r="AS64" s="46"/>
      <c r="AW64" s="14"/>
      <c r="AX64" s="15"/>
      <c r="AY64" s="15"/>
      <c r="AZ64" s="15"/>
      <c r="BA64" s="15"/>
      <c r="BB64" s="14"/>
      <c r="BC64" s="15"/>
      <c r="BD64" s="15"/>
      <c r="BE64" s="14"/>
      <c r="BF64" s="15"/>
      <c r="BG64" s="15"/>
      <c r="BH64" s="15"/>
      <c r="BI64" s="15"/>
      <c r="BJ64" s="15"/>
      <c r="BK64" s="14"/>
      <c r="BL64" s="15"/>
      <c r="BM64" s="15"/>
      <c r="BN64" s="15"/>
      <c r="BO64" s="14"/>
      <c r="BP64" s="15"/>
      <c r="BQ64" s="14"/>
      <c r="BR64" s="15"/>
      <c r="BS64" s="15"/>
      <c r="BT64" s="15"/>
      <c r="BU64" s="15"/>
      <c r="BV64" s="16"/>
      <c r="BW64" s="15"/>
      <c r="BX64" s="15"/>
    </row>
    <row r="65" spans="4:76" s="20" customFormat="1" ht="12.75" outlineLevel="1">
      <c r="D65" s="62"/>
      <c r="E65" s="49"/>
      <c r="G65" s="50"/>
      <c r="H65" s="50"/>
      <c r="I65" s="50"/>
      <c r="J65" s="51"/>
      <c r="K65" s="52"/>
      <c r="L65" s="53"/>
      <c r="M65" s="53"/>
      <c r="N65" s="53"/>
      <c r="O65" s="53"/>
      <c r="P65" s="54"/>
      <c r="Q65" s="55"/>
      <c r="R65" s="54"/>
      <c r="S65" s="55"/>
      <c r="T65" s="56"/>
      <c r="U65" s="55"/>
      <c r="V65" s="55"/>
      <c r="W65" s="54"/>
      <c r="X65" s="55"/>
      <c r="Y65" s="56"/>
      <c r="Z65" s="55"/>
      <c r="AA65" s="57"/>
      <c r="AB65" s="57"/>
      <c r="AC65" s="58"/>
      <c r="AD65" s="58"/>
      <c r="AE65" s="57"/>
      <c r="AF65" s="57"/>
      <c r="AG65" s="57"/>
      <c r="AH65" s="58"/>
      <c r="AI65" s="55"/>
      <c r="AJ65" s="55"/>
      <c r="AK65" s="58"/>
      <c r="AL65" s="58"/>
      <c r="AM65" s="57"/>
      <c r="AN65" s="57"/>
      <c r="AO65" s="56"/>
      <c r="AP65" s="57"/>
      <c r="AQ65" s="56"/>
      <c r="AR65" s="57"/>
      <c r="AS65" s="57"/>
      <c r="AW65" s="59"/>
      <c r="AX65" s="60"/>
      <c r="AY65" s="60"/>
      <c r="AZ65" s="60"/>
      <c r="BA65" s="60"/>
      <c r="BB65" s="59"/>
      <c r="BC65" s="60"/>
      <c r="BD65" s="60"/>
      <c r="BE65" s="59"/>
      <c r="BF65" s="60"/>
      <c r="BG65" s="60"/>
      <c r="BH65" s="60"/>
      <c r="BI65" s="60"/>
      <c r="BJ65" s="60"/>
      <c r="BK65" s="59"/>
      <c r="BL65" s="60"/>
      <c r="BM65" s="60"/>
      <c r="BN65" s="60"/>
      <c r="BO65" s="59"/>
      <c r="BP65" s="60"/>
      <c r="BQ65" s="59"/>
      <c r="BR65" s="60"/>
      <c r="BS65" s="60"/>
      <c r="BT65" s="60"/>
      <c r="BU65" s="60"/>
      <c r="BV65" s="61"/>
      <c r="BW65" s="60"/>
      <c r="BX65" s="60"/>
    </row>
    <row r="66" spans="5:76" s="10" customFormat="1" ht="12.75" outlineLevel="2">
      <c r="E66" s="31"/>
      <c r="G66" s="12"/>
      <c r="H66" s="12"/>
      <c r="I66" s="12"/>
      <c r="J66" s="38"/>
      <c r="K66" s="21"/>
      <c r="L66" s="13"/>
      <c r="M66" s="13"/>
      <c r="N66" s="13"/>
      <c r="O66" s="13"/>
      <c r="P66" s="43"/>
      <c r="Q66" s="44"/>
      <c r="R66" s="43"/>
      <c r="S66" s="44"/>
      <c r="T66" s="45"/>
      <c r="U66" s="44"/>
      <c r="V66" s="43"/>
      <c r="W66" s="43"/>
      <c r="X66" s="44"/>
      <c r="Y66" s="45"/>
      <c r="Z66" s="44"/>
      <c r="AA66" s="46"/>
      <c r="AB66" s="46"/>
      <c r="AC66" s="42"/>
      <c r="AD66" s="41"/>
      <c r="AE66" s="47"/>
      <c r="AF66" s="47"/>
      <c r="AG66" s="47"/>
      <c r="AH66" s="42"/>
      <c r="AI66" s="44"/>
      <c r="AJ66" s="44"/>
      <c r="AK66" s="42"/>
      <c r="AL66" s="42"/>
      <c r="AM66" s="46"/>
      <c r="AN66" s="46"/>
      <c r="AO66" s="45"/>
      <c r="AP66" s="46"/>
      <c r="AQ66" s="45"/>
      <c r="AR66" s="46"/>
      <c r="AS66" s="46"/>
      <c r="AW66" s="14"/>
      <c r="AX66" s="15"/>
      <c r="AY66" s="15"/>
      <c r="AZ66" s="15"/>
      <c r="BA66" s="15"/>
      <c r="BB66" s="14"/>
      <c r="BC66" s="15"/>
      <c r="BD66" s="15"/>
      <c r="BE66" s="13"/>
      <c r="BF66" s="15"/>
      <c r="BG66" s="15"/>
      <c r="BH66" s="15"/>
      <c r="BI66" s="15"/>
      <c r="BJ66" s="15"/>
      <c r="BK66" s="14"/>
      <c r="BL66" s="15"/>
      <c r="BM66" s="15"/>
      <c r="BN66" s="15"/>
      <c r="BO66" s="14"/>
      <c r="BP66" s="15"/>
      <c r="BQ66" s="14"/>
      <c r="BR66" s="15"/>
      <c r="BS66" s="15"/>
      <c r="BT66" s="15"/>
      <c r="BU66" s="15"/>
      <c r="BV66" s="16"/>
      <c r="BW66" s="15"/>
      <c r="BX66" s="15"/>
    </row>
    <row r="67" spans="5:76" s="10" customFormat="1" ht="12.75" outlineLevel="2">
      <c r="E67" s="30"/>
      <c r="G67" s="12"/>
      <c r="H67" s="12"/>
      <c r="I67" s="12"/>
      <c r="J67" s="38"/>
      <c r="K67" s="21"/>
      <c r="L67" s="13"/>
      <c r="M67" s="13"/>
      <c r="N67" s="13"/>
      <c r="O67" s="13"/>
      <c r="P67" s="43"/>
      <c r="Q67" s="44"/>
      <c r="R67" s="43"/>
      <c r="S67" s="44"/>
      <c r="T67" s="45"/>
      <c r="U67" s="44"/>
      <c r="V67" s="44"/>
      <c r="W67" s="43"/>
      <c r="X67" s="44"/>
      <c r="Y67" s="45"/>
      <c r="Z67" s="44"/>
      <c r="AA67" s="46"/>
      <c r="AB67" s="46"/>
      <c r="AC67" s="42"/>
      <c r="AD67" s="41"/>
      <c r="AE67" s="47"/>
      <c r="AF67" s="47"/>
      <c r="AG67" s="47"/>
      <c r="AH67" s="42"/>
      <c r="AI67" s="44"/>
      <c r="AJ67" s="44"/>
      <c r="AK67" s="42"/>
      <c r="AL67" s="42"/>
      <c r="AM67" s="46"/>
      <c r="AN67" s="46"/>
      <c r="AO67" s="45"/>
      <c r="AP67" s="46"/>
      <c r="AQ67" s="45"/>
      <c r="AR67" s="46"/>
      <c r="AS67" s="46"/>
      <c r="AW67" s="14"/>
      <c r="AX67" s="15"/>
      <c r="AY67" s="15"/>
      <c r="AZ67" s="15"/>
      <c r="BA67" s="15"/>
      <c r="BB67" s="14"/>
      <c r="BC67" s="15"/>
      <c r="BD67" s="15"/>
      <c r="BE67" s="14"/>
      <c r="BF67" s="15"/>
      <c r="BG67" s="15"/>
      <c r="BH67" s="15"/>
      <c r="BI67" s="15"/>
      <c r="BJ67" s="15"/>
      <c r="BK67" s="14"/>
      <c r="BL67" s="15"/>
      <c r="BM67" s="15"/>
      <c r="BN67" s="15"/>
      <c r="BO67" s="14"/>
      <c r="BP67" s="15"/>
      <c r="BQ67" s="14"/>
      <c r="BR67" s="15"/>
      <c r="BS67" s="15"/>
      <c r="BT67" s="15"/>
      <c r="BU67" s="15"/>
      <c r="BV67" s="16"/>
      <c r="BW67" s="15"/>
      <c r="BX67" s="15"/>
    </row>
    <row r="68" spans="5:76" s="10" customFormat="1" ht="12.75" outlineLevel="2">
      <c r="E68" s="31"/>
      <c r="G68" s="12"/>
      <c r="H68" s="12"/>
      <c r="I68" s="12"/>
      <c r="J68" s="38"/>
      <c r="K68" s="21"/>
      <c r="L68" s="13"/>
      <c r="M68" s="13"/>
      <c r="N68" s="13"/>
      <c r="O68" s="13"/>
      <c r="P68" s="43"/>
      <c r="Q68" s="44"/>
      <c r="R68" s="43"/>
      <c r="S68" s="44"/>
      <c r="T68" s="45"/>
      <c r="U68" s="44"/>
      <c r="V68" s="43"/>
      <c r="W68" s="44"/>
      <c r="X68" s="44"/>
      <c r="Y68" s="45"/>
      <c r="Z68" s="44"/>
      <c r="AA68" s="46"/>
      <c r="AB68" s="45"/>
      <c r="AC68" s="42"/>
      <c r="AD68" s="41"/>
      <c r="AE68" s="47"/>
      <c r="AF68" s="47"/>
      <c r="AG68" s="47"/>
      <c r="AH68" s="48"/>
      <c r="AI68" s="44"/>
      <c r="AJ68" s="44"/>
      <c r="AK68" s="48"/>
      <c r="AL68" s="48"/>
      <c r="AM68" s="46"/>
      <c r="AN68" s="46"/>
      <c r="AO68" s="45"/>
      <c r="AP68" s="46"/>
      <c r="AQ68" s="45"/>
      <c r="AR68" s="46"/>
      <c r="AS68" s="46"/>
      <c r="AW68" s="14"/>
      <c r="AX68" s="15"/>
      <c r="AY68" s="15"/>
      <c r="AZ68" s="15"/>
      <c r="BA68" s="15"/>
      <c r="BB68" s="14"/>
      <c r="BC68" s="15"/>
      <c r="BD68" s="15"/>
      <c r="BE68" s="14"/>
      <c r="BF68" s="15"/>
      <c r="BG68" s="15"/>
      <c r="BH68" s="15"/>
      <c r="BI68" s="15"/>
      <c r="BJ68" s="15"/>
      <c r="BK68" s="14"/>
      <c r="BL68" s="15"/>
      <c r="BM68" s="15"/>
      <c r="BN68" s="15"/>
      <c r="BO68" s="14"/>
      <c r="BP68" s="15"/>
      <c r="BQ68" s="14"/>
      <c r="BR68" s="15"/>
      <c r="BS68" s="15"/>
      <c r="BT68" s="15"/>
      <c r="BU68" s="15"/>
      <c r="BV68" s="16"/>
      <c r="BW68" s="15"/>
      <c r="BX68" s="15"/>
    </row>
    <row r="69" spans="5:76" s="10" customFormat="1" ht="12.75" outlineLevel="2">
      <c r="E69" s="31"/>
      <c r="G69" s="12"/>
      <c r="H69" s="12"/>
      <c r="I69" s="12"/>
      <c r="J69" s="38"/>
      <c r="K69" s="21"/>
      <c r="L69" s="13"/>
      <c r="M69" s="13"/>
      <c r="N69" s="13"/>
      <c r="O69" s="13"/>
      <c r="P69" s="43"/>
      <c r="Q69" s="44"/>
      <c r="R69" s="43"/>
      <c r="S69" s="44"/>
      <c r="T69" s="45"/>
      <c r="U69" s="44"/>
      <c r="V69" s="43"/>
      <c r="W69" s="44"/>
      <c r="X69" s="44"/>
      <c r="Y69" s="45"/>
      <c r="Z69" s="44"/>
      <c r="AA69" s="46"/>
      <c r="AB69" s="45"/>
      <c r="AC69" s="42"/>
      <c r="AD69" s="41"/>
      <c r="AE69" s="47"/>
      <c r="AF69" s="47"/>
      <c r="AG69" s="47"/>
      <c r="AH69" s="48"/>
      <c r="AI69" s="44"/>
      <c r="AJ69" s="44"/>
      <c r="AK69" s="48"/>
      <c r="AL69" s="48"/>
      <c r="AM69" s="46"/>
      <c r="AN69" s="46"/>
      <c r="AO69" s="45"/>
      <c r="AP69" s="46"/>
      <c r="AQ69" s="45"/>
      <c r="AR69" s="46"/>
      <c r="AS69" s="46"/>
      <c r="AW69" s="14"/>
      <c r="AX69" s="15"/>
      <c r="AY69" s="15"/>
      <c r="AZ69" s="15"/>
      <c r="BA69" s="15"/>
      <c r="BB69" s="14"/>
      <c r="BC69" s="15"/>
      <c r="BD69" s="15"/>
      <c r="BE69" s="14"/>
      <c r="BF69" s="15"/>
      <c r="BG69" s="15"/>
      <c r="BH69" s="15"/>
      <c r="BI69" s="15"/>
      <c r="BJ69" s="15"/>
      <c r="BK69" s="14"/>
      <c r="BL69" s="15"/>
      <c r="BM69" s="15"/>
      <c r="BN69" s="15"/>
      <c r="BO69" s="14"/>
      <c r="BP69" s="15"/>
      <c r="BQ69" s="14"/>
      <c r="BR69" s="15"/>
      <c r="BS69" s="15"/>
      <c r="BT69" s="15"/>
      <c r="BU69" s="15"/>
      <c r="BV69" s="16"/>
      <c r="BW69" s="15"/>
      <c r="BX69" s="15"/>
    </row>
    <row r="70" spans="5:76" s="10" customFormat="1" ht="12.75" outlineLevel="2">
      <c r="E70" s="30"/>
      <c r="G70" s="12"/>
      <c r="H70" s="12"/>
      <c r="I70" s="12"/>
      <c r="J70" s="38"/>
      <c r="K70" s="21"/>
      <c r="L70" s="13"/>
      <c r="M70" s="13"/>
      <c r="N70" s="13"/>
      <c r="O70" s="13"/>
      <c r="P70" s="43"/>
      <c r="Q70" s="44"/>
      <c r="R70" s="43"/>
      <c r="S70" s="44"/>
      <c r="T70" s="45"/>
      <c r="U70" s="44"/>
      <c r="V70" s="44"/>
      <c r="W70" s="43"/>
      <c r="X70" s="44"/>
      <c r="Y70" s="45"/>
      <c r="Z70" s="44"/>
      <c r="AA70" s="46"/>
      <c r="AB70" s="46"/>
      <c r="AC70" s="42"/>
      <c r="AD70" s="41"/>
      <c r="AE70" s="47"/>
      <c r="AF70" s="47"/>
      <c r="AG70" s="47"/>
      <c r="AH70" s="42"/>
      <c r="AI70" s="44"/>
      <c r="AJ70" s="44"/>
      <c r="AK70" s="42"/>
      <c r="AL70" s="42"/>
      <c r="AM70" s="46"/>
      <c r="AN70" s="46"/>
      <c r="AO70" s="45"/>
      <c r="AP70" s="46"/>
      <c r="AQ70" s="45"/>
      <c r="AR70" s="46"/>
      <c r="AS70" s="46"/>
      <c r="AW70" s="14"/>
      <c r="AX70" s="15"/>
      <c r="AY70" s="15"/>
      <c r="AZ70" s="15"/>
      <c r="BA70" s="15"/>
      <c r="BB70" s="14"/>
      <c r="BC70" s="15"/>
      <c r="BD70" s="15"/>
      <c r="BE70" s="13"/>
      <c r="BF70" s="15"/>
      <c r="BG70" s="15"/>
      <c r="BH70" s="15"/>
      <c r="BI70" s="15"/>
      <c r="BJ70" s="15"/>
      <c r="BK70" s="14"/>
      <c r="BL70" s="15"/>
      <c r="BM70" s="15"/>
      <c r="BN70" s="15"/>
      <c r="BO70" s="14"/>
      <c r="BP70" s="15"/>
      <c r="BQ70" s="14"/>
      <c r="BR70" s="15"/>
      <c r="BS70" s="15"/>
      <c r="BT70" s="15"/>
      <c r="BU70" s="15"/>
      <c r="BV70" s="16"/>
      <c r="BW70" s="15"/>
      <c r="BX70" s="15"/>
    </row>
    <row r="71" spans="5:76" s="10" customFormat="1" ht="12.75" outlineLevel="2">
      <c r="E71" s="30"/>
      <c r="G71" s="12"/>
      <c r="H71" s="12"/>
      <c r="I71" s="12"/>
      <c r="J71" s="38"/>
      <c r="K71" s="21"/>
      <c r="L71" s="13"/>
      <c r="M71" s="13"/>
      <c r="N71" s="13"/>
      <c r="O71" s="13"/>
      <c r="P71" s="43"/>
      <c r="Q71" s="44"/>
      <c r="R71" s="43"/>
      <c r="S71" s="44"/>
      <c r="T71" s="45"/>
      <c r="U71" s="44"/>
      <c r="V71" s="44"/>
      <c r="W71" s="43"/>
      <c r="X71" s="44"/>
      <c r="Y71" s="45"/>
      <c r="Z71" s="44"/>
      <c r="AA71" s="46"/>
      <c r="AB71" s="46"/>
      <c r="AC71" s="42"/>
      <c r="AD71" s="41"/>
      <c r="AE71" s="47"/>
      <c r="AF71" s="47"/>
      <c r="AG71" s="47"/>
      <c r="AH71" s="42"/>
      <c r="AI71" s="44"/>
      <c r="AJ71" s="44"/>
      <c r="AK71" s="42"/>
      <c r="AL71" s="42"/>
      <c r="AM71" s="46"/>
      <c r="AN71" s="46"/>
      <c r="AO71" s="45"/>
      <c r="AP71" s="46"/>
      <c r="AQ71" s="45"/>
      <c r="AR71" s="46"/>
      <c r="AS71" s="46"/>
      <c r="AW71" s="14"/>
      <c r="AX71" s="15"/>
      <c r="AY71" s="15"/>
      <c r="AZ71" s="15"/>
      <c r="BA71" s="15"/>
      <c r="BB71" s="14"/>
      <c r="BC71" s="15"/>
      <c r="BD71" s="15"/>
      <c r="BE71" s="14"/>
      <c r="BF71" s="15"/>
      <c r="BG71" s="15"/>
      <c r="BH71" s="15"/>
      <c r="BI71" s="15"/>
      <c r="BJ71" s="15"/>
      <c r="BK71" s="14"/>
      <c r="BL71" s="15"/>
      <c r="BM71" s="15"/>
      <c r="BN71" s="15"/>
      <c r="BO71" s="14"/>
      <c r="BP71" s="15"/>
      <c r="BQ71" s="14"/>
      <c r="BR71" s="15"/>
      <c r="BS71" s="15"/>
      <c r="BT71" s="15"/>
      <c r="BU71" s="15"/>
      <c r="BV71" s="16"/>
      <c r="BW71" s="15"/>
      <c r="BX71" s="15"/>
    </row>
    <row r="72" spans="5:76" s="20" customFormat="1" ht="12.75" outlineLevel="1">
      <c r="E72" s="74"/>
      <c r="G72" s="50"/>
      <c r="H72" s="50"/>
      <c r="I72" s="50"/>
      <c r="J72" s="51"/>
      <c r="K72" s="75"/>
      <c r="L72" s="53"/>
      <c r="M72" s="53"/>
      <c r="N72" s="53"/>
      <c r="O72" s="53"/>
      <c r="P72" s="54"/>
      <c r="Q72" s="55"/>
      <c r="R72" s="54"/>
      <c r="S72" s="55"/>
      <c r="T72" s="56"/>
      <c r="U72" s="55"/>
      <c r="V72" s="55"/>
      <c r="W72" s="54"/>
      <c r="X72" s="55"/>
      <c r="Y72" s="56"/>
      <c r="Z72" s="55"/>
      <c r="AA72" s="57"/>
      <c r="AB72" s="57"/>
      <c r="AC72" s="58"/>
      <c r="AD72" s="58"/>
      <c r="AE72" s="57"/>
      <c r="AF72" s="57"/>
      <c r="AG72" s="57"/>
      <c r="AH72" s="58"/>
      <c r="AI72" s="55"/>
      <c r="AJ72" s="55"/>
      <c r="AK72" s="58"/>
      <c r="AL72" s="58"/>
      <c r="AM72" s="57"/>
      <c r="AN72" s="57"/>
      <c r="AO72" s="56"/>
      <c r="AP72" s="57"/>
      <c r="AQ72" s="56"/>
      <c r="AR72" s="57"/>
      <c r="AS72" s="57"/>
      <c r="AW72" s="59"/>
      <c r="AX72" s="60"/>
      <c r="AY72" s="60"/>
      <c r="AZ72" s="60"/>
      <c r="BA72" s="60"/>
      <c r="BB72" s="59"/>
      <c r="BC72" s="60"/>
      <c r="BD72" s="60"/>
      <c r="BE72" s="59"/>
      <c r="BF72" s="60"/>
      <c r="BG72" s="60"/>
      <c r="BH72" s="60"/>
      <c r="BI72" s="60"/>
      <c r="BJ72" s="60"/>
      <c r="BK72" s="59"/>
      <c r="BL72" s="60"/>
      <c r="BM72" s="60"/>
      <c r="BN72" s="60"/>
      <c r="BO72" s="59"/>
      <c r="BP72" s="60"/>
      <c r="BQ72" s="59"/>
      <c r="BR72" s="60"/>
      <c r="BS72" s="60"/>
      <c r="BT72" s="60"/>
      <c r="BU72" s="60"/>
      <c r="BV72" s="61"/>
      <c r="BW72" s="60"/>
      <c r="BX72" s="60"/>
    </row>
    <row r="73" spans="5:76" s="18" customFormat="1" ht="12.75" outlineLevel="1">
      <c r="E73" s="76"/>
      <c r="G73" s="77"/>
      <c r="H73" s="77"/>
      <c r="I73" s="77"/>
      <c r="J73" s="78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79"/>
      <c r="V73" s="79"/>
      <c r="W73" s="79"/>
      <c r="X73" s="79"/>
      <c r="Y73" s="80"/>
      <c r="Z73" s="79"/>
      <c r="AA73" s="80"/>
      <c r="AB73" s="80"/>
      <c r="AC73" s="81"/>
      <c r="AD73" s="81"/>
      <c r="AE73" s="80"/>
      <c r="AF73" s="80"/>
      <c r="AG73" s="80"/>
      <c r="AH73" s="81"/>
      <c r="AI73" s="79"/>
      <c r="AJ73" s="79"/>
      <c r="AK73" s="81"/>
      <c r="AL73" s="81"/>
      <c r="AM73" s="80"/>
      <c r="AN73" s="68"/>
      <c r="AO73" s="68"/>
      <c r="AP73" s="68"/>
      <c r="AQ73" s="68"/>
      <c r="AR73" s="68"/>
      <c r="AS73" s="68"/>
      <c r="AW73" s="79"/>
      <c r="BA73" s="82"/>
      <c r="BB73" s="79"/>
      <c r="BC73" s="82"/>
      <c r="BD73" s="82"/>
      <c r="BE73" s="79"/>
      <c r="BF73" s="79"/>
      <c r="BJ73" s="82"/>
      <c r="BK73" s="79"/>
      <c r="BL73" s="82"/>
      <c r="BM73" s="82"/>
      <c r="BR73" s="82"/>
      <c r="BV73" s="81"/>
      <c r="BW73" s="82"/>
      <c r="BX73" s="82"/>
    </row>
  </sheetData>
  <sheetProtection/>
  <printOptions gridLines="1"/>
  <pageMargins left="0.5" right="0.5" top="1" bottom="1" header="0.5" footer="0.5"/>
  <pageSetup orientation="landscape" scale="8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A1" sqref="A1:IV16384"/>
    </sheetView>
  </sheetViews>
  <sheetFormatPr defaultColWidth="9.140625" defaultRowHeight="12.75" outlineLevelRow="2"/>
  <cols>
    <col min="3" max="3" width="18.57421875" style="0" customWidth="1"/>
    <col min="4" max="4" width="9.140625" style="8" customWidth="1"/>
    <col min="5" max="5" width="14.140625" style="0" customWidth="1"/>
    <col min="6" max="6" width="12.00390625" style="0" customWidth="1"/>
    <col min="7" max="7" width="11.28125" style="0" customWidth="1"/>
    <col min="9" max="9" width="6.8515625" style="65" customWidth="1"/>
    <col min="10" max="10" width="5.8515625" style="1" customWidth="1"/>
    <col min="11" max="11" width="9.00390625" style="1" customWidth="1"/>
    <col min="12" max="13" width="0" style="1" hidden="1" customWidth="1"/>
    <col min="14" max="14" width="0" style="2" hidden="1" customWidth="1"/>
    <col min="15" max="15" width="5.8515625" style="1" hidden="1" customWidth="1"/>
    <col min="16" max="16" width="9.140625" style="2" customWidth="1"/>
    <col min="17" max="17" width="9.140625" style="1" customWidth="1"/>
    <col min="18" max="19" width="9.140625" style="2" customWidth="1"/>
    <col min="20" max="21" width="9.140625" style="3" customWidth="1"/>
    <col min="22" max="22" width="9.140625" style="2" customWidth="1"/>
    <col min="23" max="23" width="10.00390625" style="2" customWidth="1"/>
    <col min="24" max="24" width="9.140625" style="2" customWidth="1"/>
    <col min="25" max="26" width="9.140625" style="1" customWidth="1"/>
    <col min="27" max="28" width="9.140625" style="3" customWidth="1"/>
    <col min="29" max="29" width="9.140625" style="2" customWidth="1"/>
    <col min="32" max="32" width="12.8515625" style="0" customWidth="1"/>
  </cols>
  <sheetData>
    <row r="1" spans="1:33" s="64" customFormat="1" ht="26.25" customHeight="1">
      <c r="A1" s="23"/>
      <c r="B1" s="23"/>
      <c r="C1" s="23"/>
      <c r="D1" s="23"/>
      <c r="E1" s="23"/>
      <c r="F1" s="24"/>
      <c r="G1" s="24"/>
      <c r="H1" s="24"/>
      <c r="I1" s="25"/>
      <c r="J1" s="25"/>
      <c r="K1" s="25"/>
      <c r="L1" s="25"/>
      <c r="M1" s="25"/>
      <c r="N1" s="26"/>
      <c r="O1" s="25"/>
      <c r="P1" s="25"/>
      <c r="Q1" s="26"/>
      <c r="R1" s="25"/>
      <c r="S1" s="26"/>
      <c r="T1" s="26"/>
      <c r="U1" s="26"/>
      <c r="V1" s="26"/>
      <c r="W1" s="26"/>
      <c r="X1" s="26"/>
      <c r="Y1" s="26"/>
      <c r="Z1" s="25"/>
      <c r="AA1" s="25"/>
      <c r="AB1" s="25"/>
      <c r="AC1" s="27"/>
      <c r="AD1" s="27"/>
      <c r="AE1" s="26"/>
      <c r="AF1" s="23"/>
      <c r="AG1" s="23"/>
    </row>
    <row r="2" spans="1:33" ht="12.75" outlineLevel="2">
      <c r="A2" s="10"/>
      <c r="B2" s="10"/>
      <c r="C2" s="10"/>
      <c r="D2" s="63"/>
      <c r="E2" s="10"/>
      <c r="F2" s="34"/>
      <c r="G2" s="34"/>
      <c r="H2" s="34"/>
      <c r="I2" s="43"/>
      <c r="J2" s="13"/>
      <c r="K2" s="13"/>
      <c r="L2" s="13"/>
      <c r="M2" s="13"/>
      <c r="N2" s="35"/>
      <c r="O2" s="13"/>
      <c r="P2" s="13"/>
      <c r="Q2" s="35"/>
      <c r="R2" s="13"/>
      <c r="S2" s="35"/>
      <c r="T2" s="35"/>
      <c r="U2" s="35"/>
      <c r="V2" s="35"/>
      <c r="W2" s="35"/>
      <c r="X2" s="35"/>
      <c r="Y2" s="35"/>
      <c r="Z2" s="13"/>
      <c r="AA2" s="13"/>
      <c r="AB2" s="13"/>
      <c r="AC2" s="36"/>
      <c r="AD2" s="36"/>
      <c r="AE2" s="35"/>
      <c r="AF2" s="10"/>
      <c r="AG2" s="10"/>
    </row>
    <row r="3" spans="1:33" ht="12.75" outlineLevel="2">
      <c r="A3" s="10"/>
      <c r="B3" s="10"/>
      <c r="C3" s="10"/>
      <c r="D3" s="63"/>
      <c r="E3" s="10"/>
      <c r="F3" s="34"/>
      <c r="G3" s="34"/>
      <c r="H3" s="34"/>
      <c r="I3" s="43"/>
      <c r="J3" s="13"/>
      <c r="K3" s="13"/>
      <c r="L3" s="13"/>
      <c r="M3" s="13"/>
      <c r="N3" s="35"/>
      <c r="O3" s="13"/>
      <c r="P3" s="13"/>
      <c r="Q3" s="35"/>
      <c r="R3" s="13"/>
      <c r="S3" s="35"/>
      <c r="T3" s="35"/>
      <c r="U3" s="35"/>
      <c r="V3" s="35"/>
      <c r="W3" s="35"/>
      <c r="X3" s="35"/>
      <c r="Y3" s="35"/>
      <c r="Z3" s="13"/>
      <c r="AA3" s="13"/>
      <c r="AB3" s="13"/>
      <c r="AC3" s="36"/>
      <c r="AD3" s="36"/>
      <c r="AE3" s="35"/>
      <c r="AF3" s="10"/>
      <c r="AG3" s="10"/>
    </row>
    <row r="4" spans="1:33" ht="12.75" outlineLevel="2">
      <c r="A4" s="10"/>
      <c r="B4" s="10"/>
      <c r="C4" s="10"/>
      <c r="D4" s="63"/>
      <c r="E4" s="10"/>
      <c r="F4" s="34"/>
      <c r="G4" s="34"/>
      <c r="H4" s="34"/>
      <c r="I4" s="43"/>
      <c r="J4" s="13"/>
      <c r="K4" s="13"/>
      <c r="L4" s="13"/>
      <c r="M4" s="13"/>
      <c r="N4" s="35"/>
      <c r="O4" s="13"/>
      <c r="P4" s="13"/>
      <c r="Q4" s="35"/>
      <c r="R4" s="13"/>
      <c r="S4" s="35"/>
      <c r="T4" s="35"/>
      <c r="U4" s="35"/>
      <c r="V4" s="35"/>
      <c r="W4" s="35"/>
      <c r="X4" s="35"/>
      <c r="Y4" s="35"/>
      <c r="Z4" s="13"/>
      <c r="AA4" s="13"/>
      <c r="AB4" s="13"/>
      <c r="AC4" s="36"/>
      <c r="AD4" s="36"/>
      <c r="AE4" s="35"/>
      <c r="AF4" s="10"/>
      <c r="AG4" s="10"/>
    </row>
    <row r="5" spans="1:33" ht="12.75" outlineLevel="2">
      <c r="A5" s="10"/>
      <c r="B5" s="10"/>
      <c r="C5" s="10"/>
      <c r="D5" s="63"/>
      <c r="E5" s="10"/>
      <c r="F5" s="34"/>
      <c r="G5" s="34"/>
      <c r="H5" s="34"/>
      <c r="I5" s="43"/>
      <c r="J5" s="13"/>
      <c r="K5" s="13"/>
      <c r="L5" s="13"/>
      <c r="M5" s="13"/>
      <c r="N5" s="35"/>
      <c r="O5" s="13"/>
      <c r="P5" s="13"/>
      <c r="Q5" s="35"/>
      <c r="R5" s="13"/>
      <c r="S5" s="35"/>
      <c r="T5" s="35"/>
      <c r="U5" s="35"/>
      <c r="V5" s="35"/>
      <c r="W5" s="35"/>
      <c r="X5" s="35"/>
      <c r="Y5" s="35"/>
      <c r="Z5" s="13"/>
      <c r="AA5" s="13"/>
      <c r="AB5" s="13"/>
      <c r="AC5" s="36"/>
      <c r="AD5" s="36"/>
      <c r="AE5" s="35"/>
      <c r="AF5" s="10"/>
      <c r="AG5" s="10"/>
    </row>
    <row r="6" spans="1:33" ht="12.75" outlineLevel="2">
      <c r="A6" s="10"/>
      <c r="B6" s="10"/>
      <c r="C6" s="10"/>
      <c r="D6" s="63"/>
      <c r="E6" s="10"/>
      <c r="F6" s="34"/>
      <c r="G6" s="34"/>
      <c r="H6" s="34"/>
      <c r="I6" s="43"/>
      <c r="J6" s="13"/>
      <c r="K6" s="13"/>
      <c r="L6" s="13"/>
      <c r="M6" s="13"/>
      <c r="N6" s="35"/>
      <c r="O6" s="13"/>
      <c r="P6" s="13"/>
      <c r="Q6" s="35"/>
      <c r="R6" s="13"/>
      <c r="S6" s="35"/>
      <c r="T6" s="35"/>
      <c r="U6" s="35"/>
      <c r="V6" s="35"/>
      <c r="W6" s="35"/>
      <c r="X6" s="35"/>
      <c r="Y6" s="35"/>
      <c r="Z6" s="13"/>
      <c r="AA6" s="13"/>
      <c r="AB6" s="13"/>
      <c r="AC6" s="36"/>
      <c r="AD6" s="36"/>
      <c r="AE6" s="35"/>
      <c r="AF6" s="10"/>
      <c r="AG6" s="10"/>
    </row>
    <row r="7" spans="1:33" ht="12.75" outlineLevel="2">
      <c r="A7" s="10"/>
      <c r="B7" s="10"/>
      <c r="C7" s="10"/>
      <c r="D7" s="63"/>
      <c r="E7" s="10"/>
      <c r="F7" s="34"/>
      <c r="G7" s="34"/>
      <c r="H7" s="34"/>
      <c r="I7" s="43"/>
      <c r="J7" s="13"/>
      <c r="K7" s="13"/>
      <c r="L7" s="13"/>
      <c r="M7" s="13"/>
      <c r="N7" s="35"/>
      <c r="O7" s="13"/>
      <c r="P7" s="13"/>
      <c r="Q7" s="35"/>
      <c r="R7" s="13"/>
      <c r="S7" s="35"/>
      <c r="T7" s="35"/>
      <c r="U7" s="35"/>
      <c r="V7" s="35"/>
      <c r="W7" s="35"/>
      <c r="X7" s="35"/>
      <c r="Y7" s="35"/>
      <c r="Z7" s="13"/>
      <c r="AA7" s="13"/>
      <c r="AB7" s="13"/>
      <c r="AC7" s="36"/>
      <c r="AD7" s="36"/>
      <c r="AE7" s="35"/>
      <c r="AF7" s="10"/>
      <c r="AG7" s="10"/>
    </row>
    <row r="8" spans="1:33" ht="12.75" outlineLevel="2">
      <c r="A8" s="10"/>
      <c r="B8" s="10"/>
      <c r="C8" s="10"/>
      <c r="D8" s="63"/>
      <c r="E8" s="10"/>
      <c r="F8" s="34"/>
      <c r="G8" s="34"/>
      <c r="H8" s="34"/>
      <c r="I8" s="43"/>
      <c r="J8" s="13"/>
      <c r="K8" s="13"/>
      <c r="L8" s="13"/>
      <c r="M8" s="13"/>
      <c r="N8" s="35"/>
      <c r="O8" s="13"/>
      <c r="P8" s="13"/>
      <c r="Q8" s="35"/>
      <c r="R8" s="13"/>
      <c r="S8" s="35"/>
      <c r="T8" s="35"/>
      <c r="U8" s="35"/>
      <c r="V8" s="35"/>
      <c r="W8" s="35"/>
      <c r="X8" s="35"/>
      <c r="Y8" s="35"/>
      <c r="Z8" s="13"/>
      <c r="AA8" s="13"/>
      <c r="AB8" s="13"/>
      <c r="AC8" s="36"/>
      <c r="AD8" s="36"/>
      <c r="AE8" s="35"/>
      <c r="AF8" s="10"/>
      <c r="AG8" s="10"/>
    </row>
    <row r="9" spans="1:33" ht="12.75" outlineLevel="2">
      <c r="A9" s="10"/>
      <c r="B9" s="10"/>
      <c r="C9" s="10"/>
      <c r="D9" s="63"/>
      <c r="E9" s="10"/>
      <c r="F9" s="34"/>
      <c r="G9" s="34"/>
      <c r="H9" s="34"/>
      <c r="I9" s="43"/>
      <c r="J9" s="13"/>
      <c r="K9" s="13"/>
      <c r="L9" s="13"/>
      <c r="M9" s="13"/>
      <c r="N9" s="35"/>
      <c r="O9" s="13"/>
      <c r="P9" s="13"/>
      <c r="Q9" s="35"/>
      <c r="R9" s="13"/>
      <c r="S9" s="35"/>
      <c r="T9" s="35"/>
      <c r="U9" s="35"/>
      <c r="V9" s="35"/>
      <c r="W9" s="35"/>
      <c r="X9" s="35"/>
      <c r="Y9" s="35"/>
      <c r="Z9" s="13"/>
      <c r="AA9" s="13"/>
      <c r="AB9" s="13"/>
      <c r="AC9" s="36"/>
      <c r="AD9" s="36"/>
      <c r="AE9" s="35"/>
      <c r="AF9" s="10"/>
      <c r="AG9" s="10"/>
    </row>
    <row r="10" spans="1:33" ht="12.75" outlineLevel="2">
      <c r="A10" s="10"/>
      <c r="B10" s="10"/>
      <c r="C10" s="10"/>
      <c r="D10" s="63"/>
      <c r="E10" s="10"/>
      <c r="F10" s="34"/>
      <c r="G10" s="34"/>
      <c r="H10" s="34"/>
      <c r="I10" s="43"/>
      <c r="J10" s="13"/>
      <c r="K10" s="13"/>
      <c r="L10" s="13"/>
      <c r="M10" s="13"/>
      <c r="N10" s="35"/>
      <c r="O10" s="13"/>
      <c r="P10" s="13"/>
      <c r="Q10" s="35"/>
      <c r="R10" s="13"/>
      <c r="S10" s="35"/>
      <c r="T10" s="35"/>
      <c r="U10" s="35"/>
      <c r="V10" s="35"/>
      <c r="W10" s="35"/>
      <c r="X10" s="35"/>
      <c r="Y10" s="35"/>
      <c r="Z10" s="13"/>
      <c r="AA10" s="13"/>
      <c r="AB10" s="13"/>
      <c r="AC10" s="36"/>
      <c r="AD10" s="36"/>
      <c r="AE10" s="35"/>
      <c r="AF10" s="10"/>
      <c r="AG10" s="10"/>
    </row>
    <row r="11" spans="1:33" ht="12.75" outlineLevel="2">
      <c r="A11" s="10"/>
      <c r="B11" s="10"/>
      <c r="C11" s="10"/>
      <c r="D11" s="63"/>
      <c r="E11" s="10"/>
      <c r="F11" s="34"/>
      <c r="G11" s="34"/>
      <c r="H11" s="34"/>
      <c r="I11" s="43"/>
      <c r="J11" s="13"/>
      <c r="K11" s="13"/>
      <c r="L11" s="13"/>
      <c r="M11" s="13"/>
      <c r="N11" s="35"/>
      <c r="O11" s="13"/>
      <c r="P11" s="13"/>
      <c r="Q11" s="35"/>
      <c r="R11" s="13"/>
      <c r="S11" s="35"/>
      <c r="T11" s="35"/>
      <c r="U11" s="35"/>
      <c r="V11" s="35"/>
      <c r="W11" s="35"/>
      <c r="X11" s="35"/>
      <c r="Y11" s="35"/>
      <c r="Z11" s="13"/>
      <c r="AA11" s="13"/>
      <c r="AB11" s="13"/>
      <c r="AC11" s="36"/>
      <c r="AD11" s="36"/>
      <c r="AE11" s="35"/>
      <c r="AF11" s="10"/>
      <c r="AG11" s="10"/>
    </row>
    <row r="12" spans="1:33" ht="12.75" outlineLevel="2">
      <c r="A12" s="10"/>
      <c r="B12" s="10"/>
      <c r="C12" s="10"/>
      <c r="D12" s="33"/>
      <c r="E12" s="10"/>
      <c r="F12" s="34"/>
      <c r="G12" s="34"/>
      <c r="H12" s="34"/>
      <c r="I12" s="43"/>
      <c r="J12" s="13"/>
      <c r="K12" s="13"/>
      <c r="L12" s="13"/>
      <c r="M12" s="13"/>
      <c r="N12" s="35"/>
      <c r="O12" s="13"/>
      <c r="P12" s="13"/>
      <c r="Q12" s="35"/>
      <c r="R12" s="13"/>
      <c r="S12" s="35"/>
      <c r="T12" s="35"/>
      <c r="U12" s="35"/>
      <c r="V12" s="35"/>
      <c r="W12" s="35"/>
      <c r="X12" s="35"/>
      <c r="Y12" s="35"/>
      <c r="Z12" s="13"/>
      <c r="AA12" s="13"/>
      <c r="AB12" s="13"/>
      <c r="AC12" s="36"/>
      <c r="AD12" s="36"/>
      <c r="AE12" s="35"/>
      <c r="AF12" s="10"/>
      <c r="AG12" s="10"/>
    </row>
    <row r="13" spans="1:33" ht="12.75" outlineLevel="2">
      <c r="A13" s="10"/>
      <c r="B13" s="10"/>
      <c r="C13" s="10"/>
      <c r="D13" s="63"/>
      <c r="E13" s="10"/>
      <c r="F13" s="34"/>
      <c r="G13" s="34"/>
      <c r="H13" s="34"/>
      <c r="I13" s="43"/>
      <c r="J13" s="13"/>
      <c r="K13" s="13"/>
      <c r="L13" s="13"/>
      <c r="M13" s="13"/>
      <c r="N13" s="35"/>
      <c r="O13" s="13"/>
      <c r="P13" s="13"/>
      <c r="Q13" s="35"/>
      <c r="R13" s="13"/>
      <c r="S13" s="35"/>
      <c r="T13" s="35"/>
      <c r="U13" s="35"/>
      <c r="V13" s="35"/>
      <c r="W13" s="35"/>
      <c r="X13" s="35"/>
      <c r="Y13" s="35"/>
      <c r="Z13" s="13"/>
      <c r="AA13" s="13"/>
      <c r="AB13" s="13"/>
      <c r="AC13" s="36"/>
      <c r="AD13" s="36"/>
      <c r="AE13" s="35"/>
      <c r="AF13" s="10"/>
      <c r="AG13" s="10"/>
    </row>
    <row r="14" spans="1:33" ht="12.75" outlineLevel="2">
      <c r="A14" s="10"/>
      <c r="B14" s="10"/>
      <c r="C14" s="10"/>
      <c r="D14" s="63"/>
      <c r="E14" s="10"/>
      <c r="F14" s="34"/>
      <c r="G14" s="34"/>
      <c r="H14" s="34"/>
      <c r="I14" s="43"/>
      <c r="J14" s="13"/>
      <c r="K14" s="13"/>
      <c r="L14" s="13"/>
      <c r="M14" s="13"/>
      <c r="N14" s="35"/>
      <c r="O14" s="13"/>
      <c r="P14" s="13"/>
      <c r="Q14" s="35"/>
      <c r="R14" s="13"/>
      <c r="S14" s="35"/>
      <c r="T14" s="35"/>
      <c r="U14" s="35"/>
      <c r="V14" s="35"/>
      <c r="W14" s="35"/>
      <c r="X14" s="35"/>
      <c r="Y14" s="35"/>
      <c r="Z14" s="13"/>
      <c r="AA14" s="13"/>
      <c r="AB14" s="13"/>
      <c r="AC14" s="36"/>
      <c r="AD14" s="36"/>
      <c r="AE14" s="35"/>
      <c r="AF14" s="10"/>
      <c r="AG14" s="10"/>
    </row>
    <row r="15" spans="1:33" ht="12.75" outlineLevel="2">
      <c r="A15" s="10"/>
      <c r="B15" s="10"/>
      <c r="C15" s="10"/>
      <c r="D15" s="63"/>
      <c r="E15" s="10"/>
      <c r="F15" s="34"/>
      <c r="G15" s="34"/>
      <c r="H15" s="34"/>
      <c r="I15" s="43"/>
      <c r="J15" s="13"/>
      <c r="K15" s="13"/>
      <c r="L15" s="13"/>
      <c r="M15" s="13"/>
      <c r="N15" s="35"/>
      <c r="O15" s="13"/>
      <c r="P15" s="13"/>
      <c r="Q15" s="35"/>
      <c r="R15" s="13"/>
      <c r="S15" s="35"/>
      <c r="T15" s="35"/>
      <c r="U15" s="35"/>
      <c r="V15" s="35"/>
      <c r="W15" s="35"/>
      <c r="X15" s="35"/>
      <c r="Y15" s="35"/>
      <c r="Z15" s="13"/>
      <c r="AA15" s="13"/>
      <c r="AB15" s="13"/>
      <c r="AC15" s="36"/>
      <c r="AD15" s="36"/>
      <c r="AE15" s="35"/>
      <c r="AF15" s="10"/>
      <c r="AG15" s="10"/>
    </row>
    <row r="16" spans="1:33" s="18" customFormat="1" ht="12.75" outlineLevel="1">
      <c r="A16" s="20"/>
      <c r="B16" s="20"/>
      <c r="C16" s="20"/>
      <c r="D16" s="66"/>
      <c r="E16" s="20"/>
      <c r="F16" s="67"/>
      <c r="G16" s="67"/>
      <c r="H16" s="67"/>
      <c r="I16" s="54"/>
      <c r="J16" s="53"/>
      <c r="K16" s="53"/>
      <c r="L16" s="53"/>
      <c r="M16" s="53"/>
      <c r="N16" s="68"/>
      <c r="O16" s="53"/>
      <c r="P16" s="53"/>
      <c r="Q16" s="68"/>
      <c r="R16" s="53"/>
      <c r="S16" s="68"/>
      <c r="T16" s="68"/>
      <c r="U16" s="68"/>
      <c r="V16" s="68"/>
      <c r="W16" s="68"/>
      <c r="X16" s="68"/>
      <c r="Y16" s="68"/>
      <c r="Z16" s="53"/>
      <c r="AA16" s="53"/>
      <c r="AB16" s="53"/>
      <c r="AC16" s="69"/>
      <c r="AD16" s="69"/>
      <c r="AE16" s="68"/>
      <c r="AF16" s="20"/>
      <c r="AG16" s="20"/>
    </row>
    <row r="17" spans="1:33" ht="12.75" outlineLevel="2">
      <c r="A17" s="10"/>
      <c r="B17" s="10"/>
      <c r="C17" s="10"/>
      <c r="D17" s="33"/>
      <c r="E17" s="10"/>
      <c r="F17" s="34"/>
      <c r="G17" s="34"/>
      <c r="H17" s="34"/>
      <c r="I17" s="43"/>
      <c r="J17" s="13"/>
      <c r="K17" s="13"/>
      <c r="L17" s="13"/>
      <c r="M17" s="13"/>
      <c r="N17" s="35"/>
      <c r="O17" s="13"/>
      <c r="P17" s="13"/>
      <c r="Q17" s="35"/>
      <c r="R17" s="13"/>
      <c r="S17" s="35"/>
      <c r="T17" s="35"/>
      <c r="U17" s="35"/>
      <c r="V17" s="35"/>
      <c r="W17" s="35"/>
      <c r="X17" s="35"/>
      <c r="Y17" s="35"/>
      <c r="Z17" s="13"/>
      <c r="AA17" s="13"/>
      <c r="AB17" s="13"/>
      <c r="AC17" s="36"/>
      <c r="AD17" s="36"/>
      <c r="AE17" s="35"/>
      <c r="AF17" s="10"/>
      <c r="AG17" s="10"/>
    </row>
    <row r="18" spans="1:33" ht="12.75" outlineLevel="2">
      <c r="A18" s="10"/>
      <c r="B18" s="10"/>
      <c r="C18" s="11"/>
      <c r="D18" s="33"/>
      <c r="E18" s="10"/>
      <c r="F18" s="34"/>
      <c r="G18" s="34"/>
      <c r="H18" s="34"/>
      <c r="I18" s="43"/>
      <c r="J18" s="13"/>
      <c r="K18" s="13"/>
      <c r="L18" s="13"/>
      <c r="M18" s="13"/>
      <c r="N18" s="35"/>
      <c r="O18" s="13"/>
      <c r="P18" s="13"/>
      <c r="Q18" s="35"/>
      <c r="R18" s="13"/>
      <c r="S18" s="35"/>
      <c r="T18" s="35"/>
      <c r="U18" s="35"/>
      <c r="V18" s="35"/>
      <c r="W18" s="35"/>
      <c r="X18" s="35"/>
      <c r="Y18" s="35"/>
      <c r="Z18" s="13"/>
      <c r="AA18" s="13"/>
      <c r="AB18" s="13"/>
      <c r="AC18" s="36"/>
      <c r="AD18" s="36"/>
      <c r="AE18" s="35"/>
      <c r="AF18" s="10"/>
      <c r="AG18" s="10"/>
    </row>
    <row r="19" spans="1:33" ht="12.75" outlineLevel="2">
      <c r="A19" s="10"/>
      <c r="B19" s="10"/>
      <c r="C19" s="10"/>
      <c r="D19" s="33"/>
      <c r="E19" s="10"/>
      <c r="F19" s="34"/>
      <c r="G19" s="34"/>
      <c r="H19" s="34"/>
      <c r="I19" s="43"/>
      <c r="J19" s="13"/>
      <c r="K19" s="13"/>
      <c r="L19" s="13"/>
      <c r="M19" s="13"/>
      <c r="N19" s="35"/>
      <c r="O19" s="13"/>
      <c r="P19" s="13"/>
      <c r="Q19" s="35"/>
      <c r="R19" s="13"/>
      <c r="S19" s="35"/>
      <c r="T19" s="35"/>
      <c r="U19" s="35"/>
      <c r="V19" s="35"/>
      <c r="W19" s="35"/>
      <c r="X19" s="35"/>
      <c r="Y19" s="35"/>
      <c r="Z19" s="13"/>
      <c r="AA19" s="13"/>
      <c r="AB19" s="13"/>
      <c r="AC19" s="36"/>
      <c r="AD19" s="36"/>
      <c r="AE19" s="35"/>
      <c r="AF19" s="10"/>
      <c r="AG19" s="10"/>
    </row>
    <row r="20" spans="1:33" ht="12.75" outlineLevel="2">
      <c r="A20" s="10"/>
      <c r="B20" s="10"/>
      <c r="C20" s="10"/>
      <c r="D20" s="33"/>
      <c r="E20" s="10"/>
      <c r="F20" s="34"/>
      <c r="G20" s="34"/>
      <c r="H20" s="34"/>
      <c r="I20" s="43"/>
      <c r="J20" s="13"/>
      <c r="K20" s="13"/>
      <c r="L20" s="13"/>
      <c r="M20" s="13"/>
      <c r="N20" s="35"/>
      <c r="O20" s="13"/>
      <c r="P20" s="13"/>
      <c r="Q20" s="35"/>
      <c r="R20" s="13"/>
      <c r="S20" s="35"/>
      <c r="T20" s="35"/>
      <c r="U20" s="35"/>
      <c r="V20" s="35"/>
      <c r="W20" s="35"/>
      <c r="X20" s="35"/>
      <c r="Y20" s="35"/>
      <c r="Z20" s="13"/>
      <c r="AA20" s="13"/>
      <c r="AB20" s="13"/>
      <c r="AC20" s="36"/>
      <c r="AD20" s="36"/>
      <c r="AE20" s="35"/>
      <c r="AF20" s="10"/>
      <c r="AG20" s="10"/>
    </row>
    <row r="21" spans="1:33" ht="12.75" outlineLevel="2">
      <c r="A21" s="10"/>
      <c r="B21" s="10"/>
      <c r="C21" s="10"/>
      <c r="D21" s="33"/>
      <c r="E21" s="10"/>
      <c r="F21" s="34"/>
      <c r="G21" s="34"/>
      <c r="H21" s="34"/>
      <c r="I21" s="43"/>
      <c r="J21" s="13"/>
      <c r="K21" s="13"/>
      <c r="L21" s="13"/>
      <c r="M21" s="13"/>
      <c r="N21" s="35"/>
      <c r="O21" s="13"/>
      <c r="P21" s="13"/>
      <c r="Q21" s="35"/>
      <c r="R21" s="13"/>
      <c r="S21" s="35"/>
      <c r="T21" s="35"/>
      <c r="U21" s="35"/>
      <c r="V21" s="35"/>
      <c r="W21" s="35"/>
      <c r="X21" s="35"/>
      <c r="Y21" s="35"/>
      <c r="Z21" s="13"/>
      <c r="AA21" s="13"/>
      <c r="AB21" s="13"/>
      <c r="AC21" s="36"/>
      <c r="AD21" s="36"/>
      <c r="AE21" s="35"/>
      <c r="AF21" s="10"/>
      <c r="AG21" s="10"/>
    </row>
    <row r="22" spans="1:33" ht="12.75" outlineLevel="2">
      <c r="A22" s="10"/>
      <c r="B22" s="10"/>
      <c r="C22" s="10"/>
      <c r="D22" s="33"/>
      <c r="E22" s="10"/>
      <c r="F22" s="34"/>
      <c r="G22" s="34"/>
      <c r="H22" s="34"/>
      <c r="I22" s="43"/>
      <c r="J22" s="13"/>
      <c r="K22" s="13"/>
      <c r="L22" s="13"/>
      <c r="M22" s="13"/>
      <c r="N22" s="35"/>
      <c r="O22" s="13"/>
      <c r="P22" s="13"/>
      <c r="Q22" s="35"/>
      <c r="R22" s="13"/>
      <c r="S22" s="35"/>
      <c r="T22" s="35"/>
      <c r="U22" s="35"/>
      <c r="V22" s="35"/>
      <c r="W22" s="35"/>
      <c r="X22" s="35"/>
      <c r="Y22" s="35"/>
      <c r="Z22" s="13"/>
      <c r="AA22" s="13"/>
      <c r="AB22" s="13"/>
      <c r="AC22" s="36"/>
      <c r="AD22" s="36"/>
      <c r="AE22" s="35"/>
      <c r="AF22" s="10"/>
      <c r="AG22" s="10"/>
    </row>
    <row r="23" spans="1:33" ht="12.75" outlineLevel="2">
      <c r="A23" s="10"/>
      <c r="B23" s="10"/>
      <c r="C23" s="10"/>
      <c r="D23" s="33"/>
      <c r="E23" s="10"/>
      <c r="F23" s="34"/>
      <c r="G23" s="34"/>
      <c r="H23" s="34"/>
      <c r="I23" s="43"/>
      <c r="J23" s="13"/>
      <c r="K23" s="13"/>
      <c r="L23" s="13"/>
      <c r="M23" s="13"/>
      <c r="N23" s="35"/>
      <c r="O23" s="13"/>
      <c r="P23" s="13"/>
      <c r="Q23" s="35"/>
      <c r="R23" s="13"/>
      <c r="S23" s="35"/>
      <c r="T23" s="35"/>
      <c r="U23" s="35"/>
      <c r="V23" s="35"/>
      <c r="W23" s="35"/>
      <c r="X23" s="35"/>
      <c r="Y23" s="35"/>
      <c r="Z23" s="13"/>
      <c r="AA23" s="13"/>
      <c r="AB23" s="13"/>
      <c r="AC23" s="36"/>
      <c r="AD23" s="36"/>
      <c r="AE23" s="35"/>
      <c r="AF23" s="10"/>
      <c r="AG23" s="10"/>
    </row>
    <row r="24" spans="1:33" ht="12.75" outlineLevel="2">
      <c r="A24" s="10"/>
      <c r="B24" s="10"/>
      <c r="C24" s="10"/>
      <c r="D24" s="33"/>
      <c r="E24" s="10"/>
      <c r="F24" s="34"/>
      <c r="G24" s="34"/>
      <c r="H24" s="34"/>
      <c r="I24" s="43"/>
      <c r="J24" s="13"/>
      <c r="K24" s="13"/>
      <c r="L24" s="13"/>
      <c r="M24" s="13"/>
      <c r="N24" s="35"/>
      <c r="O24" s="13"/>
      <c r="P24" s="13"/>
      <c r="Q24" s="35"/>
      <c r="R24" s="13"/>
      <c r="S24" s="35"/>
      <c r="T24" s="35"/>
      <c r="U24" s="35"/>
      <c r="V24" s="35"/>
      <c r="W24" s="35"/>
      <c r="X24" s="35"/>
      <c r="Y24" s="35"/>
      <c r="Z24" s="13"/>
      <c r="AA24" s="13"/>
      <c r="AB24" s="13"/>
      <c r="AC24" s="36"/>
      <c r="AD24" s="36"/>
      <c r="AE24" s="35"/>
      <c r="AF24" s="10"/>
      <c r="AG24" s="10"/>
    </row>
    <row r="25" spans="1:33" s="18" customFormat="1" ht="12.75" outlineLevel="1">
      <c r="A25" s="20"/>
      <c r="B25" s="20"/>
      <c r="C25" s="20"/>
      <c r="D25" s="70"/>
      <c r="E25" s="20"/>
      <c r="F25" s="67"/>
      <c r="G25" s="67"/>
      <c r="H25" s="67"/>
      <c r="I25" s="54"/>
      <c r="J25" s="53"/>
      <c r="K25" s="53"/>
      <c r="L25" s="53"/>
      <c r="M25" s="53"/>
      <c r="N25" s="68"/>
      <c r="O25" s="53"/>
      <c r="P25" s="53"/>
      <c r="Q25" s="68"/>
      <c r="R25" s="53"/>
      <c r="S25" s="68"/>
      <c r="T25" s="68"/>
      <c r="U25" s="68"/>
      <c r="V25" s="68"/>
      <c r="W25" s="68"/>
      <c r="X25" s="68"/>
      <c r="Y25" s="68"/>
      <c r="Z25" s="53"/>
      <c r="AA25" s="53"/>
      <c r="AB25" s="53"/>
      <c r="AC25" s="69"/>
      <c r="AD25" s="69"/>
      <c r="AE25" s="68"/>
      <c r="AF25" s="20"/>
      <c r="AG25" s="20"/>
    </row>
    <row r="26" spans="1:33" ht="12.75" outlineLevel="2">
      <c r="A26" s="10"/>
      <c r="B26" s="10"/>
      <c r="C26" s="10"/>
      <c r="D26" s="33"/>
      <c r="E26" s="10"/>
      <c r="F26" s="34"/>
      <c r="G26" s="34"/>
      <c r="H26" s="34"/>
      <c r="I26" s="43"/>
      <c r="J26" s="13"/>
      <c r="K26" s="13"/>
      <c r="L26" s="13"/>
      <c r="M26" s="13"/>
      <c r="N26" s="35"/>
      <c r="O26" s="13"/>
      <c r="P26" s="13"/>
      <c r="Q26" s="35"/>
      <c r="R26" s="13"/>
      <c r="S26" s="35"/>
      <c r="T26" s="35"/>
      <c r="U26" s="35"/>
      <c r="V26" s="35"/>
      <c r="W26" s="35"/>
      <c r="X26" s="35"/>
      <c r="Y26" s="35"/>
      <c r="Z26" s="13"/>
      <c r="AA26" s="13"/>
      <c r="AB26" s="13"/>
      <c r="AC26" s="36"/>
      <c r="AD26" s="36"/>
      <c r="AE26" s="35"/>
      <c r="AF26" s="10"/>
      <c r="AG26" s="10"/>
    </row>
    <row r="27" spans="1:33" ht="12.75" outlineLevel="2">
      <c r="A27" s="10"/>
      <c r="B27" s="10"/>
      <c r="C27" s="10"/>
      <c r="D27" s="33"/>
      <c r="E27" s="10"/>
      <c r="F27" s="34"/>
      <c r="G27" s="34"/>
      <c r="H27" s="34"/>
      <c r="I27" s="43"/>
      <c r="J27" s="13"/>
      <c r="K27" s="13"/>
      <c r="L27" s="13"/>
      <c r="M27" s="13"/>
      <c r="N27" s="35"/>
      <c r="O27" s="13"/>
      <c r="P27" s="13"/>
      <c r="Q27" s="35"/>
      <c r="R27" s="13"/>
      <c r="S27" s="35"/>
      <c r="T27" s="35"/>
      <c r="U27" s="35"/>
      <c r="V27" s="35"/>
      <c r="W27" s="35"/>
      <c r="X27" s="35"/>
      <c r="Y27" s="35"/>
      <c r="Z27" s="13"/>
      <c r="AA27" s="13"/>
      <c r="AB27" s="13"/>
      <c r="AC27" s="36"/>
      <c r="AD27" s="36"/>
      <c r="AE27" s="35"/>
      <c r="AF27" s="10"/>
      <c r="AG27" s="10"/>
    </row>
    <row r="28" spans="1:33" ht="12.75" outlineLevel="2">
      <c r="A28" s="10"/>
      <c r="B28" s="10"/>
      <c r="C28" s="10"/>
      <c r="D28" s="33"/>
      <c r="E28" s="10"/>
      <c r="F28" s="34"/>
      <c r="G28" s="34"/>
      <c r="H28" s="34"/>
      <c r="I28" s="43"/>
      <c r="J28" s="13"/>
      <c r="K28" s="13"/>
      <c r="L28" s="13"/>
      <c r="M28" s="13"/>
      <c r="N28" s="35"/>
      <c r="O28" s="13"/>
      <c r="P28" s="13"/>
      <c r="Q28" s="35"/>
      <c r="R28" s="13"/>
      <c r="S28" s="35"/>
      <c r="T28" s="35"/>
      <c r="U28" s="35"/>
      <c r="V28" s="35"/>
      <c r="W28" s="35"/>
      <c r="X28" s="35"/>
      <c r="Y28" s="35"/>
      <c r="Z28" s="13"/>
      <c r="AA28" s="13"/>
      <c r="AB28" s="13"/>
      <c r="AC28" s="36"/>
      <c r="AD28" s="36"/>
      <c r="AE28" s="35"/>
      <c r="AF28" s="10"/>
      <c r="AG28" s="10"/>
    </row>
    <row r="29" spans="1:33" ht="12.75" outlineLevel="2">
      <c r="A29" s="10"/>
      <c r="B29" s="10"/>
      <c r="C29" s="10"/>
      <c r="D29" s="33"/>
      <c r="E29" s="10"/>
      <c r="F29" s="34"/>
      <c r="G29" s="34"/>
      <c r="H29" s="34"/>
      <c r="I29" s="43"/>
      <c r="J29" s="13"/>
      <c r="K29" s="13"/>
      <c r="L29" s="13"/>
      <c r="M29" s="13"/>
      <c r="N29" s="35"/>
      <c r="O29" s="13"/>
      <c r="P29" s="13"/>
      <c r="Q29" s="35"/>
      <c r="R29" s="13"/>
      <c r="S29" s="35"/>
      <c r="T29" s="35"/>
      <c r="U29" s="35"/>
      <c r="V29" s="35"/>
      <c r="W29" s="35"/>
      <c r="X29" s="35"/>
      <c r="Y29" s="35"/>
      <c r="Z29" s="13"/>
      <c r="AA29" s="13"/>
      <c r="AB29" s="13"/>
      <c r="AC29" s="36"/>
      <c r="AD29" s="36"/>
      <c r="AE29" s="35"/>
      <c r="AF29" s="10"/>
      <c r="AG29" s="10"/>
    </row>
    <row r="30" spans="1:33" ht="12.75" outlineLevel="2">
      <c r="A30" s="10"/>
      <c r="B30" s="10"/>
      <c r="C30" s="10"/>
      <c r="D30" s="33"/>
      <c r="E30" s="10"/>
      <c r="F30" s="34"/>
      <c r="G30" s="34"/>
      <c r="H30" s="34"/>
      <c r="I30" s="43"/>
      <c r="J30" s="13"/>
      <c r="K30" s="13"/>
      <c r="L30" s="13"/>
      <c r="M30" s="13"/>
      <c r="N30" s="35"/>
      <c r="O30" s="13"/>
      <c r="P30" s="13"/>
      <c r="Q30" s="35"/>
      <c r="R30" s="13"/>
      <c r="S30" s="35"/>
      <c r="T30" s="35"/>
      <c r="U30" s="35"/>
      <c r="V30" s="35"/>
      <c r="W30" s="35"/>
      <c r="X30" s="35"/>
      <c r="Y30" s="35"/>
      <c r="Z30" s="13"/>
      <c r="AA30" s="13"/>
      <c r="AB30" s="13"/>
      <c r="AC30" s="36"/>
      <c r="AD30" s="36"/>
      <c r="AE30" s="35"/>
      <c r="AF30" s="10"/>
      <c r="AG30" s="10"/>
    </row>
    <row r="31" spans="1:33" ht="12.75" outlineLevel="2">
      <c r="A31" s="10"/>
      <c r="B31" s="10"/>
      <c r="C31" s="10"/>
      <c r="D31" s="33"/>
      <c r="E31" s="10"/>
      <c r="F31" s="34"/>
      <c r="G31" s="34"/>
      <c r="H31" s="34"/>
      <c r="I31" s="43"/>
      <c r="J31" s="13"/>
      <c r="K31" s="13"/>
      <c r="L31" s="13"/>
      <c r="M31" s="13"/>
      <c r="N31" s="35"/>
      <c r="O31" s="13"/>
      <c r="P31" s="13"/>
      <c r="Q31" s="35"/>
      <c r="R31" s="13"/>
      <c r="S31" s="35"/>
      <c r="T31" s="35"/>
      <c r="U31" s="35"/>
      <c r="V31" s="35"/>
      <c r="W31" s="35"/>
      <c r="X31" s="35"/>
      <c r="Y31" s="35"/>
      <c r="Z31" s="13"/>
      <c r="AA31" s="13"/>
      <c r="AB31" s="13"/>
      <c r="AC31" s="36"/>
      <c r="AD31" s="36"/>
      <c r="AE31" s="35"/>
      <c r="AF31" s="10"/>
      <c r="AG31" s="10"/>
    </row>
    <row r="32" spans="1:33" ht="12.75" outlineLevel="2">
      <c r="A32" s="10"/>
      <c r="B32" s="10"/>
      <c r="C32" s="10"/>
      <c r="D32" s="33"/>
      <c r="E32" s="10"/>
      <c r="F32" s="34"/>
      <c r="G32" s="34"/>
      <c r="H32" s="34"/>
      <c r="I32" s="43"/>
      <c r="J32" s="13"/>
      <c r="K32" s="13"/>
      <c r="L32" s="13"/>
      <c r="M32" s="13"/>
      <c r="N32" s="35"/>
      <c r="O32" s="13"/>
      <c r="P32" s="13"/>
      <c r="Q32" s="35"/>
      <c r="R32" s="13"/>
      <c r="S32" s="35"/>
      <c r="T32" s="35"/>
      <c r="U32" s="35"/>
      <c r="V32" s="35"/>
      <c r="W32" s="35"/>
      <c r="X32" s="35"/>
      <c r="Y32" s="35"/>
      <c r="Z32" s="13"/>
      <c r="AA32" s="13"/>
      <c r="AB32" s="13"/>
      <c r="AC32" s="36"/>
      <c r="AD32" s="36"/>
      <c r="AE32" s="35"/>
      <c r="AF32" s="10"/>
      <c r="AG32" s="10"/>
    </row>
    <row r="33" spans="1:33" ht="12.75" outlineLevel="2">
      <c r="A33" s="10"/>
      <c r="B33" s="10"/>
      <c r="C33" s="10"/>
      <c r="D33" s="33"/>
      <c r="E33" s="10"/>
      <c r="F33" s="34"/>
      <c r="G33" s="34"/>
      <c r="H33" s="34"/>
      <c r="I33" s="43"/>
      <c r="J33" s="13"/>
      <c r="K33" s="13"/>
      <c r="L33" s="13"/>
      <c r="M33" s="13"/>
      <c r="N33" s="35"/>
      <c r="O33" s="13"/>
      <c r="P33" s="13"/>
      <c r="Q33" s="35"/>
      <c r="R33" s="13"/>
      <c r="S33" s="35"/>
      <c r="T33" s="35"/>
      <c r="U33" s="35"/>
      <c r="V33" s="35"/>
      <c r="W33" s="35"/>
      <c r="X33" s="35"/>
      <c r="Y33" s="35"/>
      <c r="Z33" s="13"/>
      <c r="AA33" s="13"/>
      <c r="AB33" s="13"/>
      <c r="AC33" s="36"/>
      <c r="AD33" s="36"/>
      <c r="AE33" s="35"/>
      <c r="AF33" s="10"/>
      <c r="AG33" s="10"/>
    </row>
    <row r="34" spans="1:33" ht="12.75" outlineLevel="2">
      <c r="A34" s="10"/>
      <c r="B34" s="10"/>
      <c r="C34" s="10"/>
      <c r="D34" s="33"/>
      <c r="E34" s="10"/>
      <c r="F34" s="34"/>
      <c r="G34" s="34"/>
      <c r="H34" s="34"/>
      <c r="I34" s="43"/>
      <c r="J34" s="13"/>
      <c r="K34" s="13"/>
      <c r="L34" s="13"/>
      <c r="M34" s="13"/>
      <c r="N34" s="35"/>
      <c r="O34" s="13"/>
      <c r="P34" s="13"/>
      <c r="Q34" s="35"/>
      <c r="R34" s="13"/>
      <c r="S34" s="35"/>
      <c r="T34" s="35"/>
      <c r="U34" s="35"/>
      <c r="V34" s="35"/>
      <c r="W34" s="35"/>
      <c r="X34" s="35"/>
      <c r="Y34" s="35"/>
      <c r="Z34" s="13"/>
      <c r="AA34" s="13"/>
      <c r="AB34" s="13"/>
      <c r="AC34" s="36"/>
      <c r="AD34" s="36"/>
      <c r="AE34" s="35"/>
      <c r="AF34" s="10"/>
      <c r="AG34" s="10"/>
    </row>
    <row r="35" spans="1:33" ht="12.75" outlineLevel="2">
      <c r="A35" s="10"/>
      <c r="B35" s="10"/>
      <c r="C35" s="10"/>
      <c r="D35" s="33"/>
      <c r="E35" s="10"/>
      <c r="F35" s="34"/>
      <c r="G35" s="34"/>
      <c r="H35" s="34"/>
      <c r="I35" s="43"/>
      <c r="J35" s="13"/>
      <c r="K35" s="13"/>
      <c r="L35" s="13"/>
      <c r="M35" s="13"/>
      <c r="N35" s="35"/>
      <c r="O35" s="13"/>
      <c r="P35" s="13"/>
      <c r="Q35" s="35"/>
      <c r="R35" s="13"/>
      <c r="S35" s="35"/>
      <c r="T35" s="35"/>
      <c r="U35" s="35"/>
      <c r="V35" s="35"/>
      <c r="W35" s="35"/>
      <c r="X35" s="35"/>
      <c r="Y35" s="35"/>
      <c r="Z35" s="13"/>
      <c r="AA35" s="13"/>
      <c r="AB35" s="13"/>
      <c r="AC35" s="36"/>
      <c r="AD35" s="36"/>
      <c r="AE35" s="35"/>
      <c r="AF35" s="10"/>
      <c r="AG35" s="10"/>
    </row>
    <row r="36" spans="1:33" ht="12.75" outlineLevel="2">
      <c r="A36" s="10"/>
      <c r="B36" s="10"/>
      <c r="C36" s="10"/>
      <c r="D36" s="33"/>
      <c r="E36" s="10"/>
      <c r="F36" s="34"/>
      <c r="G36" s="34"/>
      <c r="H36" s="34"/>
      <c r="I36" s="43"/>
      <c r="J36" s="13"/>
      <c r="K36" s="13"/>
      <c r="L36" s="13"/>
      <c r="M36" s="13"/>
      <c r="N36" s="35"/>
      <c r="O36" s="13"/>
      <c r="P36" s="13"/>
      <c r="Q36" s="35"/>
      <c r="R36" s="13"/>
      <c r="S36" s="35"/>
      <c r="T36" s="35"/>
      <c r="U36" s="35"/>
      <c r="V36" s="35"/>
      <c r="W36" s="35"/>
      <c r="X36" s="35"/>
      <c r="Y36" s="35"/>
      <c r="Z36" s="13"/>
      <c r="AA36" s="13"/>
      <c r="AB36" s="13"/>
      <c r="AC36" s="36"/>
      <c r="AD36" s="36"/>
      <c r="AE36" s="35"/>
      <c r="AF36" s="10"/>
      <c r="AG36" s="10"/>
    </row>
    <row r="37" spans="1:33" s="18" customFormat="1" ht="12.75" outlineLevel="1">
      <c r="A37" s="20"/>
      <c r="B37" s="20"/>
      <c r="C37" s="20"/>
      <c r="D37" s="70"/>
      <c r="E37" s="20"/>
      <c r="F37" s="67"/>
      <c r="G37" s="67"/>
      <c r="H37" s="67"/>
      <c r="I37" s="54"/>
      <c r="J37" s="53"/>
      <c r="K37" s="53"/>
      <c r="L37" s="53"/>
      <c r="M37" s="53"/>
      <c r="N37" s="68"/>
      <c r="O37" s="53"/>
      <c r="P37" s="53"/>
      <c r="Q37" s="68"/>
      <c r="R37" s="53"/>
      <c r="S37" s="68"/>
      <c r="T37" s="68"/>
      <c r="U37" s="68"/>
      <c r="V37" s="68"/>
      <c r="W37" s="68"/>
      <c r="X37" s="68"/>
      <c r="Y37" s="68"/>
      <c r="Z37" s="53"/>
      <c r="AA37" s="53"/>
      <c r="AB37" s="53"/>
      <c r="AC37" s="69"/>
      <c r="AD37" s="69"/>
      <c r="AE37" s="68"/>
      <c r="AF37" s="20"/>
      <c r="AG37" s="20"/>
    </row>
    <row r="38" spans="1:33" ht="12.75" outlineLevel="2">
      <c r="A38" s="10"/>
      <c r="B38" s="10"/>
      <c r="C38" s="10"/>
      <c r="D38" s="33"/>
      <c r="E38" s="10"/>
      <c r="F38" s="34"/>
      <c r="G38" s="34"/>
      <c r="H38" s="34"/>
      <c r="I38" s="43"/>
      <c r="J38" s="13"/>
      <c r="K38" s="13"/>
      <c r="L38" s="13"/>
      <c r="M38" s="13"/>
      <c r="N38" s="35"/>
      <c r="O38" s="13"/>
      <c r="P38" s="13"/>
      <c r="Q38" s="35"/>
      <c r="R38" s="13"/>
      <c r="S38" s="35"/>
      <c r="T38" s="35"/>
      <c r="U38" s="35"/>
      <c r="V38" s="35"/>
      <c r="W38" s="35"/>
      <c r="X38" s="35"/>
      <c r="Y38" s="35"/>
      <c r="Z38" s="13"/>
      <c r="AA38" s="13"/>
      <c r="AB38" s="13"/>
      <c r="AC38" s="36"/>
      <c r="AD38" s="36"/>
      <c r="AE38" s="35"/>
      <c r="AF38" s="10"/>
      <c r="AG38" s="10"/>
    </row>
    <row r="39" spans="1:33" ht="12.75" outlineLevel="2">
      <c r="A39" s="10"/>
      <c r="B39" s="10"/>
      <c r="C39" s="10"/>
      <c r="D39" s="33"/>
      <c r="E39" s="10"/>
      <c r="F39" s="34"/>
      <c r="G39" s="34"/>
      <c r="H39" s="34"/>
      <c r="I39" s="43"/>
      <c r="J39" s="13"/>
      <c r="K39" s="13"/>
      <c r="L39" s="13"/>
      <c r="M39" s="13"/>
      <c r="N39" s="35"/>
      <c r="O39" s="13"/>
      <c r="P39" s="13"/>
      <c r="Q39" s="35"/>
      <c r="R39" s="13"/>
      <c r="S39" s="35"/>
      <c r="T39" s="35"/>
      <c r="U39" s="35"/>
      <c r="V39" s="35"/>
      <c r="W39" s="35"/>
      <c r="X39" s="35"/>
      <c r="Y39" s="35"/>
      <c r="Z39" s="13"/>
      <c r="AA39" s="13"/>
      <c r="AB39" s="13"/>
      <c r="AC39" s="36"/>
      <c r="AD39" s="36"/>
      <c r="AE39" s="35"/>
      <c r="AF39" s="10"/>
      <c r="AG39" s="10"/>
    </row>
    <row r="40" spans="1:33" ht="12.75" outlineLevel="2">
      <c r="A40" s="10"/>
      <c r="B40" s="10"/>
      <c r="C40" s="10"/>
      <c r="D40" s="33"/>
      <c r="E40" s="10"/>
      <c r="F40" s="34"/>
      <c r="G40" s="34"/>
      <c r="H40" s="34"/>
      <c r="I40" s="43"/>
      <c r="J40" s="13"/>
      <c r="K40" s="13"/>
      <c r="L40" s="13"/>
      <c r="M40" s="13"/>
      <c r="N40" s="35"/>
      <c r="O40" s="13"/>
      <c r="P40" s="13"/>
      <c r="Q40" s="35"/>
      <c r="R40" s="13"/>
      <c r="S40" s="35"/>
      <c r="T40" s="35"/>
      <c r="U40" s="35"/>
      <c r="V40" s="35"/>
      <c r="W40" s="35"/>
      <c r="X40" s="35"/>
      <c r="Y40" s="35"/>
      <c r="Z40" s="13"/>
      <c r="AA40" s="13"/>
      <c r="AB40" s="13"/>
      <c r="AC40" s="36"/>
      <c r="AD40" s="36"/>
      <c r="AE40" s="35"/>
      <c r="AF40" s="10"/>
      <c r="AG40" s="10"/>
    </row>
    <row r="41" spans="1:33" ht="12.75" outlineLevel="2">
      <c r="A41" s="10"/>
      <c r="B41" s="10"/>
      <c r="C41" s="10"/>
      <c r="D41" s="33"/>
      <c r="E41" s="10"/>
      <c r="F41" s="34"/>
      <c r="G41" s="34"/>
      <c r="H41" s="34"/>
      <c r="I41" s="43"/>
      <c r="J41" s="13"/>
      <c r="K41" s="13"/>
      <c r="L41" s="13"/>
      <c r="M41" s="13"/>
      <c r="N41" s="35"/>
      <c r="O41" s="13"/>
      <c r="P41" s="13"/>
      <c r="Q41" s="35"/>
      <c r="R41" s="13"/>
      <c r="S41" s="35"/>
      <c r="T41" s="35"/>
      <c r="U41" s="35"/>
      <c r="V41" s="35"/>
      <c r="W41" s="35"/>
      <c r="X41" s="35"/>
      <c r="Y41" s="35"/>
      <c r="Z41" s="13"/>
      <c r="AA41" s="13"/>
      <c r="AB41" s="13"/>
      <c r="AC41" s="36"/>
      <c r="AD41" s="36"/>
      <c r="AE41" s="35"/>
      <c r="AF41" s="10"/>
      <c r="AG41" s="10"/>
    </row>
    <row r="42" spans="1:33" s="18" customFormat="1" ht="12.75" outlineLevel="1">
      <c r="A42" s="20"/>
      <c r="B42" s="20"/>
      <c r="C42" s="20"/>
      <c r="D42" s="70"/>
      <c r="E42" s="20"/>
      <c r="F42" s="67"/>
      <c r="G42" s="67"/>
      <c r="H42" s="67"/>
      <c r="I42" s="54"/>
      <c r="J42" s="53"/>
      <c r="K42" s="53"/>
      <c r="L42" s="53"/>
      <c r="M42" s="53"/>
      <c r="N42" s="68"/>
      <c r="O42" s="53"/>
      <c r="P42" s="53"/>
      <c r="Q42" s="68"/>
      <c r="R42" s="53"/>
      <c r="S42" s="68"/>
      <c r="T42" s="68"/>
      <c r="U42" s="68"/>
      <c r="V42" s="68"/>
      <c r="W42" s="68"/>
      <c r="X42" s="68"/>
      <c r="Y42" s="68"/>
      <c r="Z42" s="53"/>
      <c r="AA42" s="53"/>
      <c r="AB42" s="53"/>
      <c r="AC42" s="69"/>
      <c r="AD42" s="69"/>
      <c r="AE42" s="68"/>
      <c r="AF42" s="20"/>
      <c r="AG42" s="20"/>
    </row>
    <row r="43" spans="1:33" ht="12.75" outlineLevel="2">
      <c r="A43" s="10"/>
      <c r="B43" s="10"/>
      <c r="C43" s="10"/>
      <c r="D43" s="33"/>
      <c r="E43" s="10"/>
      <c r="F43" s="34"/>
      <c r="G43" s="34"/>
      <c r="H43" s="34"/>
      <c r="I43" s="43"/>
      <c r="J43" s="13"/>
      <c r="K43" s="13"/>
      <c r="L43" s="13"/>
      <c r="M43" s="13"/>
      <c r="N43" s="35"/>
      <c r="O43" s="13"/>
      <c r="P43" s="13"/>
      <c r="Q43" s="35"/>
      <c r="R43" s="13"/>
      <c r="S43" s="35"/>
      <c r="T43" s="35"/>
      <c r="U43" s="35"/>
      <c r="V43" s="35"/>
      <c r="W43" s="35"/>
      <c r="X43" s="35"/>
      <c r="Y43" s="35"/>
      <c r="Z43" s="13"/>
      <c r="AA43" s="13"/>
      <c r="AB43" s="13"/>
      <c r="AC43" s="36"/>
      <c r="AD43" s="36"/>
      <c r="AE43" s="35"/>
      <c r="AF43" s="10"/>
      <c r="AG43" s="10"/>
    </row>
    <row r="44" spans="1:33" ht="12.75" outlineLevel="2">
      <c r="A44" s="10"/>
      <c r="B44" s="10"/>
      <c r="C44" s="10"/>
      <c r="D44" s="33"/>
      <c r="E44" s="10"/>
      <c r="F44" s="34"/>
      <c r="G44" s="34"/>
      <c r="H44" s="34"/>
      <c r="I44" s="43"/>
      <c r="J44" s="13"/>
      <c r="K44" s="13"/>
      <c r="L44" s="13"/>
      <c r="M44" s="13"/>
      <c r="N44" s="35"/>
      <c r="O44" s="13"/>
      <c r="P44" s="13"/>
      <c r="Q44" s="35"/>
      <c r="R44" s="13"/>
      <c r="S44" s="35"/>
      <c r="T44" s="35"/>
      <c r="U44" s="35"/>
      <c r="V44" s="35"/>
      <c r="W44" s="35"/>
      <c r="X44" s="35"/>
      <c r="Y44" s="35"/>
      <c r="Z44" s="13"/>
      <c r="AA44" s="13"/>
      <c r="AB44" s="13"/>
      <c r="AC44" s="36"/>
      <c r="AD44" s="36"/>
      <c r="AE44" s="35"/>
      <c r="AF44" s="10"/>
      <c r="AG44" s="10"/>
    </row>
    <row r="45" spans="1:33" s="18" customFormat="1" ht="12.75" outlineLevel="1">
      <c r="A45" s="20"/>
      <c r="B45" s="20"/>
      <c r="C45" s="20"/>
      <c r="D45" s="70"/>
      <c r="E45" s="20"/>
      <c r="F45" s="67"/>
      <c r="G45" s="67"/>
      <c r="H45" s="67"/>
      <c r="I45" s="54"/>
      <c r="J45" s="53"/>
      <c r="K45" s="53"/>
      <c r="L45" s="53"/>
      <c r="M45" s="53"/>
      <c r="N45" s="68"/>
      <c r="O45" s="53"/>
      <c r="P45" s="53"/>
      <c r="Q45" s="68"/>
      <c r="R45" s="53"/>
      <c r="S45" s="68"/>
      <c r="T45" s="68"/>
      <c r="U45" s="68"/>
      <c r="V45" s="68"/>
      <c r="W45" s="68"/>
      <c r="X45" s="68"/>
      <c r="Y45" s="68"/>
      <c r="Z45" s="53"/>
      <c r="AA45" s="53"/>
      <c r="AB45" s="53"/>
      <c r="AC45" s="69"/>
      <c r="AD45" s="69"/>
      <c r="AE45" s="68"/>
      <c r="AF45" s="20"/>
      <c r="AG45" s="20"/>
    </row>
    <row r="46" spans="1:33" ht="12.75" outlineLevel="2">
      <c r="A46" s="10"/>
      <c r="B46" s="10"/>
      <c r="C46" s="10"/>
      <c r="D46" s="33"/>
      <c r="E46" s="10"/>
      <c r="F46" s="34"/>
      <c r="G46" s="34"/>
      <c r="H46" s="34"/>
      <c r="I46" s="43"/>
      <c r="J46" s="13"/>
      <c r="K46" s="13"/>
      <c r="L46" s="13"/>
      <c r="M46" s="13"/>
      <c r="N46" s="35"/>
      <c r="O46" s="13"/>
      <c r="P46" s="13"/>
      <c r="Q46" s="35"/>
      <c r="R46" s="13"/>
      <c r="S46" s="35"/>
      <c r="T46" s="35"/>
      <c r="U46" s="35"/>
      <c r="V46" s="35"/>
      <c r="W46" s="35"/>
      <c r="X46" s="35"/>
      <c r="Y46" s="35"/>
      <c r="Z46" s="13"/>
      <c r="AA46" s="13"/>
      <c r="AB46" s="13"/>
      <c r="AC46" s="36"/>
      <c r="AD46" s="36"/>
      <c r="AE46" s="35"/>
      <c r="AF46" s="10"/>
      <c r="AG46" s="10"/>
    </row>
    <row r="47" spans="1:33" ht="12.75" outlineLevel="2">
      <c r="A47" s="10"/>
      <c r="B47" s="10"/>
      <c r="C47" s="10"/>
      <c r="D47" s="33"/>
      <c r="E47" s="10"/>
      <c r="F47" s="34"/>
      <c r="G47" s="34"/>
      <c r="H47" s="34"/>
      <c r="I47" s="43"/>
      <c r="J47" s="13"/>
      <c r="K47" s="13"/>
      <c r="L47" s="13"/>
      <c r="M47" s="13"/>
      <c r="N47" s="35"/>
      <c r="O47" s="13"/>
      <c r="P47" s="13"/>
      <c r="Q47" s="35"/>
      <c r="R47" s="13"/>
      <c r="S47" s="35"/>
      <c r="T47" s="35"/>
      <c r="U47" s="35"/>
      <c r="V47" s="35"/>
      <c r="W47" s="35"/>
      <c r="X47" s="35"/>
      <c r="Y47" s="35"/>
      <c r="Z47" s="13"/>
      <c r="AA47" s="13"/>
      <c r="AB47" s="13"/>
      <c r="AC47" s="36"/>
      <c r="AD47" s="36"/>
      <c r="AE47" s="35"/>
      <c r="AF47" s="10"/>
      <c r="AG47" s="10"/>
    </row>
    <row r="48" spans="1:33" s="18" customFormat="1" ht="12.75" outlineLevel="1">
      <c r="A48" s="20"/>
      <c r="B48" s="20"/>
      <c r="C48" s="20"/>
      <c r="D48" s="70"/>
      <c r="E48" s="20"/>
      <c r="F48" s="67"/>
      <c r="G48" s="67"/>
      <c r="H48" s="67"/>
      <c r="I48" s="54"/>
      <c r="J48" s="53"/>
      <c r="K48" s="53"/>
      <c r="L48" s="53"/>
      <c r="M48" s="53"/>
      <c r="N48" s="68"/>
      <c r="O48" s="53"/>
      <c r="P48" s="53"/>
      <c r="Q48" s="68"/>
      <c r="R48" s="53"/>
      <c r="S48" s="68"/>
      <c r="T48" s="68"/>
      <c r="U48" s="68"/>
      <c r="V48" s="68"/>
      <c r="W48" s="68"/>
      <c r="X48" s="68"/>
      <c r="Y48" s="68"/>
      <c r="Z48" s="53"/>
      <c r="AA48" s="53"/>
      <c r="AB48" s="53"/>
      <c r="AC48" s="69"/>
      <c r="AD48" s="69"/>
      <c r="AE48" s="68"/>
      <c r="AF48" s="20"/>
      <c r="AG48" s="20"/>
    </row>
    <row r="49" spans="1:33" ht="12.75" outlineLevel="2">
      <c r="A49" s="10"/>
      <c r="B49" s="10"/>
      <c r="C49" s="10"/>
      <c r="D49" s="33"/>
      <c r="E49" s="10"/>
      <c r="F49" s="34"/>
      <c r="G49" s="34"/>
      <c r="H49" s="34"/>
      <c r="I49" s="43"/>
      <c r="J49" s="13"/>
      <c r="K49" s="13"/>
      <c r="L49" s="13"/>
      <c r="M49" s="13"/>
      <c r="N49" s="35"/>
      <c r="O49" s="13"/>
      <c r="P49" s="13"/>
      <c r="Q49" s="35"/>
      <c r="R49" s="13"/>
      <c r="S49" s="35"/>
      <c r="T49" s="35"/>
      <c r="U49" s="35"/>
      <c r="V49" s="35"/>
      <c r="W49" s="35"/>
      <c r="X49" s="35"/>
      <c r="Y49" s="35"/>
      <c r="Z49" s="13"/>
      <c r="AA49" s="13"/>
      <c r="AB49" s="13"/>
      <c r="AC49" s="36"/>
      <c r="AD49" s="36"/>
      <c r="AE49" s="35"/>
      <c r="AF49" s="10"/>
      <c r="AG49" s="10"/>
    </row>
    <row r="50" spans="1:33" ht="12.75" outlineLevel="2">
      <c r="A50" s="10"/>
      <c r="B50" s="10"/>
      <c r="C50" s="37"/>
      <c r="D50" s="33"/>
      <c r="E50" s="10"/>
      <c r="F50" s="34"/>
      <c r="G50" s="34"/>
      <c r="H50" s="34"/>
      <c r="I50" s="43"/>
      <c r="J50" s="13"/>
      <c r="K50" s="13"/>
      <c r="L50" s="13"/>
      <c r="M50" s="13"/>
      <c r="N50" s="35"/>
      <c r="O50" s="13"/>
      <c r="P50" s="13"/>
      <c r="Q50" s="35"/>
      <c r="R50" s="13"/>
      <c r="S50" s="35"/>
      <c r="T50" s="35"/>
      <c r="U50" s="35"/>
      <c r="V50" s="35"/>
      <c r="W50" s="35"/>
      <c r="X50" s="35"/>
      <c r="Y50" s="35"/>
      <c r="Z50" s="13"/>
      <c r="AA50" s="13"/>
      <c r="AB50" s="13"/>
      <c r="AC50" s="36"/>
      <c r="AD50" s="36"/>
      <c r="AE50" s="35"/>
      <c r="AF50" s="10"/>
      <c r="AG50" s="10"/>
    </row>
    <row r="51" spans="1:33" ht="12.75" outlineLevel="2">
      <c r="A51" s="10"/>
      <c r="B51" s="10"/>
      <c r="C51" s="10"/>
      <c r="D51" s="33"/>
      <c r="E51" s="10"/>
      <c r="F51" s="34"/>
      <c r="G51" s="34"/>
      <c r="H51" s="34"/>
      <c r="I51" s="43"/>
      <c r="J51" s="13"/>
      <c r="K51" s="13"/>
      <c r="L51" s="13"/>
      <c r="M51" s="13"/>
      <c r="N51" s="35"/>
      <c r="O51" s="13"/>
      <c r="P51" s="13"/>
      <c r="Q51" s="35"/>
      <c r="R51" s="13"/>
      <c r="S51" s="35"/>
      <c r="T51" s="35"/>
      <c r="U51" s="35"/>
      <c r="V51" s="35"/>
      <c r="W51" s="35"/>
      <c r="X51" s="35"/>
      <c r="Y51" s="35"/>
      <c r="Z51" s="13"/>
      <c r="AA51" s="13"/>
      <c r="AB51" s="13"/>
      <c r="AC51" s="36"/>
      <c r="AD51" s="36"/>
      <c r="AE51" s="35"/>
      <c r="AF51" s="10"/>
      <c r="AG51" s="10"/>
    </row>
    <row r="52" spans="1:33" ht="12.75" outlineLevel="2">
      <c r="A52" s="10"/>
      <c r="B52" s="10"/>
      <c r="C52" s="10"/>
      <c r="D52" s="33"/>
      <c r="E52" s="10"/>
      <c r="F52" s="34"/>
      <c r="G52" s="34"/>
      <c r="H52" s="34"/>
      <c r="I52" s="43"/>
      <c r="J52" s="13"/>
      <c r="K52" s="13"/>
      <c r="L52" s="13"/>
      <c r="M52" s="13"/>
      <c r="N52" s="35"/>
      <c r="O52" s="13"/>
      <c r="P52" s="13"/>
      <c r="Q52" s="35"/>
      <c r="R52" s="13"/>
      <c r="S52" s="35"/>
      <c r="T52" s="35"/>
      <c r="U52" s="35"/>
      <c r="V52" s="35"/>
      <c r="W52" s="35"/>
      <c r="X52" s="35"/>
      <c r="Y52" s="35"/>
      <c r="Z52" s="13"/>
      <c r="AA52" s="13"/>
      <c r="AB52" s="13"/>
      <c r="AC52" s="36"/>
      <c r="AD52" s="36"/>
      <c r="AE52" s="35"/>
      <c r="AF52" s="10"/>
      <c r="AG52" s="10"/>
    </row>
    <row r="53" spans="1:33" ht="12.75" outlineLevel="2">
      <c r="A53" s="10"/>
      <c r="B53" s="10"/>
      <c r="C53" s="10"/>
      <c r="D53" s="33"/>
      <c r="E53" s="10"/>
      <c r="F53" s="34"/>
      <c r="G53" s="34"/>
      <c r="H53" s="34"/>
      <c r="I53" s="43"/>
      <c r="J53" s="13"/>
      <c r="K53" s="13"/>
      <c r="L53" s="13"/>
      <c r="M53" s="13"/>
      <c r="N53" s="35"/>
      <c r="O53" s="13"/>
      <c r="P53" s="13"/>
      <c r="Q53" s="35"/>
      <c r="R53" s="13"/>
      <c r="S53" s="35"/>
      <c r="T53" s="35"/>
      <c r="U53" s="35"/>
      <c r="V53" s="35"/>
      <c r="W53" s="35"/>
      <c r="X53" s="35"/>
      <c r="Y53" s="35"/>
      <c r="Z53" s="13"/>
      <c r="AA53" s="13"/>
      <c r="AB53" s="13"/>
      <c r="AC53" s="36"/>
      <c r="AD53" s="36"/>
      <c r="AE53" s="35"/>
      <c r="AF53" s="10"/>
      <c r="AG53" s="10"/>
    </row>
    <row r="54" spans="1:33" ht="12.75" outlineLevel="2">
      <c r="A54" s="10"/>
      <c r="B54" s="10"/>
      <c r="C54" s="10"/>
      <c r="D54" s="33"/>
      <c r="E54" s="10"/>
      <c r="F54" s="34"/>
      <c r="G54" s="34"/>
      <c r="H54" s="34"/>
      <c r="I54" s="43"/>
      <c r="J54" s="13"/>
      <c r="K54" s="13"/>
      <c r="L54" s="13"/>
      <c r="M54" s="13"/>
      <c r="N54" s="35"/>
      <c r="O54" s="13"/>
      <c r="P54" s="13"/>
      <c r="Q54" s="35"/>
      <c r="R54" s="13"/>
      <c r="S54" s="35"/>
      <c r="T54" s="35"/>
      <c r="U54" s="35"/>
      <c r="V54" s="35"/>
      <c r="W54" s="35"/>
      <c r="X54" s="35"/>
      <c r="Y54" s="35"/>
      <c r="Z54" s="13"/>
      <c r="AA54" s="13"/>
      <c r="AB54" s="13"/>
      <c r="AC54" s="36"/>
      <c r="AD54" s="36"/>
      <c r="AE54" s="35"/>
      <c r="AF54" s="10"/>
      <c r="AG54" s="10"/>
    </row>
    <row r="55" spans="1:33" ht="12.75" outlineLevel="2">
      <c r="A55" s="10"/>
      <c r="B55" s="10"/>
      <c r="C55" s="10"/>
      <c r="D55" s="33"/>
      <c r="E55" s="10"/>
      <c r="F55" s="34"/>
      <c r="G55" s="34"/>
      <c r="H55" s="34"/>
      <c r="I55" s="43"/>
      <c r="J55" s="13"/>
      <c r="K55" s="13"/>
      <c r="L55" s="13"/>
      <c r="M55" s="13"/>
      <c r="N55" s="35"/>
      <c r="O55" s="13"/>
      <c r="P55" s="13"/>
      <c r="Q55" s="35"/>
      <c r="R55" s="13"/>
      <c r="S55" s="35"/>
      <c r="T55" s="35"/>
      <c r="U55" s="35"/>
      <c r="V55" s="35"/>
      <c r="W55" s="35"/>
      <c r="X55" s="35"/>
      <c r="Y55" s="35"/>
      <c r="Z55" s="13"/>
      <c r="AA55" s="13"/>
      <c r="AB55" s="13"/>
      <c r="AC55" s="36"/>
      <c r="AD55" s="36"/>
      <c r="AE55" s="35"/>
      <c r="AF55" s="10"/>
      <c r="AG55" s="10"/>
    </row>
    <row r="56" spans="1:33" s="18" customFormat="1" ht="12.75" outlineLevel="1">
      <c r="A56" s="20"/>
      <c r="B56" s="20"/>
      <c r="C56" s="20"/>
      <c r="D56" s="70"/>
      <c r="E56" s="20"/>
      <c r="F56" s="67"/>
      <c r="G56" s="67"/>
      <c r="H56" s="67"/>
      <c r="I56" s="54"/>
      <c r="J56" s="53"/>
      <c r="K56" s="53"/>
      <c r="L56" s="53"/>
      <c r="M56" s="53"/>
      <c r="N56" s="68"/>
      <c r="O56" s="53"/>
      <c r="P56" s="53"/>
      <c r="Q56" s="68"/>
      <c r="R56" s="53"/>
      <c r="S56" s="68"/>
      <c r="T56" s="68"/>
      <c r="U56" s="68"/>
      <c r="V56" s="68"/>
      <c r="W56" s="68"/>
      <c r="X56" s="68"/>
      <c r="Y56" s="68"/>
      <c r="Z56" s="53"/>
      <c r="AA56" s="53"/>
      <c r="AB56" s="53"/>
      <c r="AC56" s="69"/>
      <c r="AD56" s="69"/>
      <c r="AE56" s="68"/>
      <c r="AF56" s="20"/>
      <c r="AG56" s="20"/>
    </row>
    <row r="57" spans="1:33" ht="12.75" outlineLevel="1">
      <c r="A57" s="10"/>
      <c r="B57" s="10"/>
      <c r="C57" s="10"/>
      <c r="D57" s="33"/>
      <c r="E57" s="10"/>
      <c r="F57" s="34"/>
      <c r="G57" s="34"/>
      <c r="H57" s="34"/>
      <c r="I57" s="43"/>
      <c r="J57" s="13"/>
      <c r="K57" s="13"/>
      <c r="L57" s="13"/>
      <c r="M57" s="13"/>
      <c r="N57" s="35"/>
      <c r="O57" s="13"/>
      <c r="P57" s="13"/>
      <c r="Q57" s="35"/>
      <c r="R57" s="13"/>
      <c r="S57" s="35"/>
      <c r="T57" s="35"/>
      <c r="U57" s="35"/>
      <c r="V57" s="35"/>
      <c r="W57" s="35"/>
      <c r="X57" s="35"/>
      <c r="Y57" s="35"/>
      <c r="Z57" s="13"/>
      <c r="AA57" s="13"/>
      <c r="AB57" s="13"/>
      <c r="AC57" s="36"/>
      <c r="AD57" s="36"/>
      <c r="AE57" s="35"/>
      <c r="AF57" s="10"/>
      <c r="AG57" s="10"/>
    </row>
    <row r="58" spans="1:33" ht="12.75" outlineLevel="1">
      <c r="A58" s="10"/>
      <c r="B58" s="10"/>
      <c r="C58" s="10"/>
      <c r="D58" s="33"/>
      <c r="E58" s="10"/>
      <c r="F58" s="34"/>
      <c r="G58" s="34"/>
      <c r="H58" s="34"/>
      <c r="I58" s="43"/>
      <c r="J58" s="13"/>
      <c r="K58" s="13"/>
      <c r="L58" s="13"/>
      <c r="M58" s="13"/>
      <c r="N58" s="35"/>
      <c r="O58" s="13"/>
      <c r="P58" s="13"/>
      <c r="Q58" s="35"/>
      <c r="R58" s="13"/>
      <c r="S58" s="35"/>
      <c r="T58" s="35"/>
      <c r="U58" s="35"/>
      <c r="V58" s="35"/>
      <c r="W58" s="35"/>
      <c r="X58" s="35"/>
      <c r="Y58" s="35"/>
      <c r="Z58" s="13"/>
      <c r="AA58" s="13"/>
      <c r="AB58" s="13"/>
      <c r="AC58" s="36"/>
      <c r="AD58" s="36"/>
      <c r="AE58" s="35"/>
      <c r="AF58" s="10"/>
      <c r="AG58" s="10"/>
    </row>
    <row r="59" spans="1:33" s="18" customFormat="1" ht="12.75" outlineLevel="1">
      <c r="A59" s="20"/>
      <c r="B59" s="20"/>
      <c r="C59" s="20"/>
      <c r="D59" s="70"/>
      <c r="E59" s="20"/>
      <c r="F59" s="67"/>
      <c r="G59" s="67"/>
      <c r="H59" s="67"/>
      <c r="I59" s="54"/>
      <c r="J59" s="53"/>
      <c r="K59" s="53"/>
      <c r="L59" s="53"/>
      <c r="M59" s="53"/>
      <c r="N59" s="68"/>
      <c r="O59" s="53"/>
      <c r="P59" s="53"/>
      <c r="Q59" s="68"/>
      <c r="R59" s="53"/>
      <c r="S59" s="68"/>
      <c r="T59" s="68"/>
      <c r="U59" s="68"/>
      <c r="V59" s="68"/>
      <c r="W59" s="68"/>
      <c r="X59" s="68"/>
      <c r="Y59" s="68"/>
      <c r="Z59" s="53"/>
      <c r="AA59" s="53"/>
      <c r="AB59" s="53"/>
      <c r="AC59" s="69"/>
      <c r="AD59" s="69"/>
      <c r="AE59" s="68"/>
      <c r="AF59" s="20"/>
      <c r="AG59" s="20"/>
    </row>
    <row r="60" spans="1:33" ht="12.75">
      <c r="A60" s="10"/>
      <c r="B60" s="10"/>
      <c r="C60" s="10"/>
      <c r="D60" s="33"/>
      <c r="E60" s="10"/>
      <c r="F60" s="34"/>
      <c r="G60" s="34"/>
      <c r="H60" s="34"/>
      <c r="I60" s="43"/>
      <c r="J60" s="13"/>
      <c r="K60" s="13"/>
      <c r="L60" s="13"/>
      <c r="M60" s="13"/>
      <c r="N60" s="35"/>
      <c r="O60" s="13"/>
      <c r="P60" s="13"/>
      <c r="Q60" s="35"/>
      <c r="R60" s="13"/>
      <c r="S60" s="35"/>
      <c r="T60" s="35"/>
      <c r="U60" s="35"/>
      <c r="V60" s="35"/>
      <c r="W60" s="35"/>
      <c r="X60" s="35"/>
      <c r="Y60" s="35"/>
      <c r="Z60" s="13"/>
      <c r="AA60" s="13"/>
      <c r="AB60" s="13"/>
      <c r="AC60" s="36"/>
      <c r="AD60" s="36"/>
      <c r="AE60" s="35"/>
      <c r="AF60" s="10"/>
      <c r="AG60" s="10"/>
    </row>
    <row r="61" spans="1:33" ht="12.75">
      <c r="A61" s="10"/>
      <c r="B61" s="10"/>
      <c r="C61" s="10"/>
      <c r="D61" s="33"/>
      <c r="E61" s="10"/>
      <c r="F61" s="34"/>
      <c r="G61" s="34"/>
      <c r="H61" s="34"/>
      <c r="I61" s="43"/>
      <c r="J61" s="13"/>
      <c r="K61" s="13"/>
      <c r="L61" s="13"/>
      <c r="M61" s="13"/>
      <c r="N61" s="35"/>
      <c r="O61" s="13"/>
      <c r="P61" s="13"/>
      <c r="Q61" s="35"/>
      <c r="R61" s="13"/>
      <c r="S61" s="35"/>
      <c r="T61" s="35"/>
      <c r="U61" s="35"/>
      <c r="V61" s="35"/>
      <c r="W61" s="35"/>
      <c r="X61" s="35"/>
      <c r="Y61" s="35"/>
      <c r="Z61" s="13"/>
      <c r="AA61" s="13"/>
      <c r="AB61" s="13"/>
      <c r="AC61" s="36"/>
      <c r="AD61" s="36"/>
      <c r="AE61" s="35"/>
      <c r="AF61" s="10"/>
      <c r="AG61" s="10"/>
    </row>
    <row r="62" spans="1:33" ht="12.75">
      <c r="A62" s="10"/>
      <c r="B62" s="10"/>
      <c r="C62" s="10"/>
      <c r="D62" s="33"/>
      <c r="E62" s="10"/>
      <c r="F62" s="34"/>
      <c r="G62" s="34"/>
      <c r="H62" s="34"/>
      <c r="I62" s="43"/>
      <c r="J62" s="13"/>
      <c r="K62" s="13"/>
      <c r="L62" s="13"/>
      <c r="M62" s="13"/>
      <c r="N62" s="35"/>
      <c r="O62" s="13"/>
      <c r="P62" s="13"/>
      <c r="Q62" s="35"/>
      <c r="R62" s="13"/>
      <c r="S62" s="35"/>
      <c r="T62" s="35"/>
      <c r="U62" s="35"/>
      <c r="V62" s="35"/>
      <c r="W62" s="35"/>
      <c r="X62" s="35"/>
      <c r="Y62" s="35"/>
      <c r="Z62" s="13"/>
      <c r="AA62" s="13"/>
      <c r="AB62" s="13"/>
      <c r="AC62" s="36"/>
      <c r="AD62" s="36"/>
      <c r="AE62" s="35"/>
      <c r="AF62" s="10"/>
      <c r="AG62" s="10"/>
    </row>
  </sheetData>
  <sheetProtection/>
  <printOptions gridLines="1"/>
  <pageMargins left="0.5" right="0.5" top="1" bottom="1" header="0.5" footer="0.5"/>
  <pageSetup blackAndWhite="1" horizontalDpi="600" verticalDpi="600" orientation="landscape" scale="9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Rio Grande Valley Bull Gain Test</dc:title>
  <dc:subject/>
  <dc:creator>Authorized Gateway Customer</dc:creator>
  <cp:keywords/>
  <dc:description/>
  <cp:lastModifiedBy>Brad Cowan</cp:lastModifiedBy>
  <cp:lastPrinted>2015-03-10T21:59:48Z</cp:lastPrinted>
  <dcterms:created xsi:type="dcterms:W3CDTF">1999-11-22T16:11:30Z</dcterms:created>
  <dcterms:modified xsi:type="dcterms:W3CDTF">2015-03-10T22:48:38Z</dcterms:modified>
  <cp:category/>
  <cp:version/>
  <cp:contentType/>
  <cp:contentStatus/>
</cp:coreProperties>
</file>